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Documents\Decision making tools\"/>
    </mc:Choice>
  </mc:AlternateContent>
  <xr:revisionPtr revIDLastSave="0" documentId="8_{0B3BEB72-94B5-4144-9711-F8ADC031C380}" xr6:coauthVersionLast="47" xr6:coauthVersionMax="47" xr10:uidLastSave="{00000000-0000-0000-0000-000000000000}"/>
  <bookViews>
    <workbookView xWindow="6240" yWindow="3075" windowWidth="21600" windowHeight="11145" tabRatio="656" xr2:uid="{00000000-000D-0000-FFFF-FFFF00000000}"/>
  </bookViews>
  <sheets>
    <sheet name="Instructions" sheetId="6" r:id="rId1"/>
    <sheet name="Fertilizer Cost Calculator" sheetId="7" r:id="rId2"/>
    <sheet name="Corn" sheetId="1" r:id="rId3"/>
    <sheet name="Corn Silage" sheetId="15" r:id="rId4"/>
    <sheet name="Soybeans" sheetId="12" r:id="rId5"/>
    <sheet name="Small Grain" sheetId="11" r:id="rId6"/>
    <sheet name="Seeding Year Haylage" sheetId="9" r:id="rId7"/>
    <sheet name="Established Haylage" sheetId="20" r:id="rId8"/>
    <sheet name="Seeding Year Hay" sheetId="21" r:id="rId9"/>
    <sheet name="Established Hay" sheetId="22" r:id="rId10"/>
    <sheet name="Annual Forage Crop" sheetId="23" r:id="rId11"/>
  </sheets>
  <definedNames>
    <definedName name="_xlnm.Print_Area" localSheetId="2">Corn!$A$1:$F$148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23" l="1"/>
  <c r="E66" i="23"/>
  <c r="E65" i="23"/>
  <c r="E64" i="23"/>
  <c r="G211" i="23"/>
  <c r="F211" i="23"/>
  <c r="E211" i="23"/>
  <c r="D211" i="23"/>
  <c r="C211" i="23"/>
  <c r="B210" i="23"/>
  <c r="B209" i="23"/>
  <c r="B208" i="23"/>
  <c r="B207" i="23"/>
  <c r="B206" i="23"/>
  <c r="E189" i="23"/>
  <c r="E184" i="23"/>
  <c r="E182" i="23"/>
  <c r="E181" i="23"/>
  <c r="E180" i="23"/>
  <c r="E175" i="23"/>
  <c r="E171" i="23"/>
  <c r="E170" i="23"/>
  <c r="E169" i="23"/>
  <c r="E168" i="23"/>
  <c r="E167" i="23"/>
  <c r="E166" i="23"/>
  <c r="E165" i="23"/>
  <c r="E161" i="23"/>
  <c r="E160" i="23"/>
  <c r="E159" i="23"/>
  <c r="E158" i="23"/>
  <c r="E157" i="23"/>
  <c r="E156" i="23"/>
  <c r="E155" i="23"/>
  <c r="E151" i="23"/>
  <c r="E150" i="23"/>
  <c r="E149" i="23"/>
  <c r="E148" i="23"/>
  <c r="E147" i="23"/>
  <c r="E146" i="23"/>
  <c r="E145" i="23"/>
  <c r="E144" i="23"/>
  <c r="E140" i="23"/>
  <c r="E139" i="23"/>
  <c r="E138" i="23"/>
  <c r="E137" i="23"/>
  <c r="E136" i="23"/>
  <c r="E135" i="23"/>
  <c r="E134" i="23"/>
  <c r="E133" i="23"/>
  <c r="E129" i="23"/>
  <c r="E128" i="23"/>
  <c r="E125" i="23"/>
  <c r="E124" i="23"/>
  <c r="E123" i="23"/>
  <c r="E122" i="23"/>
  <c r="E121" i="23"/>
  <c r="E120" i="23"/>
  <c r="E114" i="23"/>
  <c r="E105" i="23"/>
  <c r="E106" i="23" s="1"/>
  <c r="E100" i="23"/>
  <c r="E72" i="23"/>
  <c r="E70" i="23"/>
  <c r="E69" i="23"/>
  <c r="E58" i="23"/>
  <c r="E56" i="23"/>
  <c r="E53" i="23"/>
  <c r="E52" i="23"/>
  <c r="E51" i="23"/>
  <c r="E43" i="23"/>
  <c r="E41" i="23"/>
  <c r="E37" i="23"/>
  <c r="E36" i="23"/>
  <c r="E35" i="23"/>
  <c r="E34" i="23"/>
  <c r="E30" i="23"/>
  <c r="E29" i="23"/>
  <c r="E28" i="23"/>
  <c r="E27" i="23"/>
  <c r="E24" i="23"/>
  <c r="C17" i="23"/>
  <c r="L16" i="23"/>
  <c r="C16" i="23"/>
  <c r="E176" i="23" s="1"/>
  <c r="E15" i="23"/>
  <c r="E14" i="23"/>
  <c r="G211" i="22"/>
  <c r="F211" i="22"/>
  <c r="E211" i="22"/>
  <c r="D211" i="22"/>
  <c r="C211" i="22"/>
  <c r="B210" i="22"/>
  <c r="B209" i="22"/>
  <c r="B208" i="22"/>
  <c r="B207" i="22"/>
  <c r="B206" i="22"/>
  <c r="E189" i="22"/>
  <c r="E184" i="22"/>
  <c r="E182" i="22"/>
  <c r="E181" i="22"/>
  <c r="E180" i="22"/>
  <c r="E175" i="22"/>
  <c r="E171" i="22"/>
  <c r="E170" i="22"/>
  <c r="E169" i="22"/>
  <c r="E168" i="22"/>
  <c r="E167" i="22"/>
  <c r="E166" i="22"/>
  <c r="E165" i="22"/>
  <c r="E161" i="22"/>
  <c r="E160" i="22"/>
  <c r="E159" i="22"/>
  <c r="E158" i="22"/>
  <c r="E157" i="22"/>
  <c r="E156" i="22"/>
  <c r="E155" i="22"/>
  <c r="E151" i="22"/>
  <c r="E150" i="22"/>
  <c r="E149" i="22"/>
  <c r="E148" i="22"/>
  <c r="E147" i="22"/>
  <c r="E146" i="22"/>
  <c r="E145" i="22"/>
  <c r="E144" i="22"/>
  <c r="E140" i="22"/>
  <c r="E139" i="22"/>
  <c r="E138" i="22"/>
  <c r="E137" i="22"/>
  <c r="E136" i="22"/>
  <c r="E135" i="22"/>
  <c r="E134" i="22"/>
  <c r="E133" i="22"/>
  <c r="E129" i="22"/>
  <c r="E128" i="22"/>
  <c r="E125" i="22"/>
  <c r="E124" i="22"/>
  <c r="E123" i="22"/>
  <c r="E122" i="22"/>
  <c r="E121" i="22"/>
  <c r="E120" i="22"/>
  <c r="E114" i="22"/>
  <c r="E105" i="22"/>
  <c r="E106" i="22" s="1"/>
  <c r="E100" i="22"/>
  <c r="E72" i="22"/>
  <c r="E70" i="22"/>
  <c r="E69" i="22"/>
  <c r="E67" i="22"/>
  <c r="E66" i="22"/>
  <c r="E65" i="22"/>
  <c r="E64" i="22"/>
  <c r="E58" i="22"/>
  <c r="E56" i="22"/>
  <c r="E53" i="22"/>
  <c r="E52" i="22"/>
  <c r="E51" i="22"/>
  <c r="E43" i="22"/>
  <c r="E41" i="22"/>
  <c r="E37" i="22"/>
  <c r="E36" i="22"/>
  <c r="E35" i="22"/>
  <c r="E34" i="22"/>
  <c r="E30" i="22"/>
  <c r="E29" i="22"/>
  <c r="E28" i="22"/>
  <c r="E27" i="22"/>
  <c r="E24" i="22"/>
  <c r="C17" i="22"/>
  <c r="L16" i="22"/>
  <c r="C16" i="22"/>
  <c r="E176" i="22" s="1"/>
  <c r="E15" i="22"/>
  <c r="E14" i="22"/>
  <c r="G211" i="21"/>
  <c r="F211" i="21"/>
  <c r="E211" i="21"/>
  <c r="D211" i="21"/>
  <c r="C211" i="21"/>
  <c r="B210" i="21"/>
  <c r="B209" i="21"/>
  <c r="B208" i="21"/>
  <c r="B207" i="21"/>
  <c r="B206" i="21"/>
  <c r="E189" i="21"/>
  <c r="E184" i="21"/>
  <c r="E182" i="21"/>
  <c r="E181" i="21"/>
  <c r="E180" i="21"/>
  <c r="E175" i="21"/>
  <c r="E171" i="21"/>
  <c r="E170" i="21"/>
  <c r="E169" i="21"/>
  <c r="E168" i="21"/>
  <c r="E167" i="21"/>
  <c r="E166" i="21"/>
  <c r="E165" i="21"/>
  <c r="E161" i="21"/>
  <c r="E160" i="21"/>
  <c r="E159" i="21"/>
  <c r="E158" i="21"/>
  <c r="E157" i="21"/>
  <c r="E156" i="21"/>
  <c r="E155" i="21"/>
  <c r="E151" i="21"/>
  <c r="E150" i="21"/>
  <c r="E149" i="21"/>
  <c r="E148" i="21"/>
  <c r="E147" i="21"/>
  <c r="E146" i="21"/>
  <c r="E145" i="21"/>
  <c r="E144" i="21"/>
  <c r="E140" i="21"/>
  <c r="E139" i="21"/>
  <c r="E138" i="21"/>
  <c r="E137" i="21"/>
  <c r="E136" i="21"/>
  <c r="E135" i="21"/>
  <c r="E134" i="21"/>
  <c r="E133" i="21"/>
  <c r="E129" i="21"/>
  <c r="E128" i="21"/>
  <c r="E125" i="21"/>
  <c r="E124" i="21"/>
  <c r="E123" i="21"/>
  <c r="E122" i="21"/>
  <c r="E121" i="21"/>
  <c r="E120" i="21"/>
  <c r="E114" i="21"/>
  <c r="E105" i="21"/>
  <c r="E106" i="21" s="1"/>
  <c r="E100" i="21"/>
  <c r="E72" i="21"/>
  <c r="E70" i="21"/>
  <c r="E69" i="21"/>
  <c r="E67" i="21"/>
  <c r="E66" i="21"/>
  <c r="E65" i="21"/>
  <c r="E64" i="21"/>
  <c r="E58" i="21"/>
  <c r="E56" i="21"/>
  <c r="E53" i="21"/>
  <c r="E52" i="21"/>
  <c r="E51" i="21"/>
  <c r="E43" i="21"/>
  <c r="E41" i="21"/>
  <c r="E37" i="21"/>
  <c r="E36" i="21"/>
  <c r="E35" i="21"/>
  <c r="E34" i="21"/>
  <c r="E30" i="21"/>
  <c r="E29" i="21"/>
  <c r="E28" i="21"/>
  <c r="E27" i="21"/>
  <c r="E24" i="21"/>
  <c r="C17" i="21"/>
  <c r="L16" i="21"/>
  <c r="C16" i="21"/>
  <c r="E176" i="21" s="1"/>
  <c r="E15" i="21"/>
  <c r="E14" i="21"/>
  <c r="E18" i="21" s="1"/>
  <c r="G211" i="20"/>
  <c r="F211" i="20"/>
  <c r="E211" i="20"/>
  <c r="D211" i="20"/>
  <c r="C211" i="20"/>
  <c r="B210" i="20"/>
  <c r="B209" i="20"/>
  <c r="B208" i="20"/>
  <c r="B207" i="20"/>
  <c r="B206" i="20"/>
  <c r="E189" i="20"/>
  <c r="E184" i="20"/>
  <c r="E182" i="20"/>
  <c r="E181" i="20"/>
  <c r="E180" i="20"/>
  <c r="E175" i="20"/>
  <c r="E171" i="20"/>
  <c r="E170" i="20"/>
  <c r="E169" i="20"/>
  <c r="E168" i="20"/>
  <c r="E167" i="20"/>
  <c r="E166" i="20"/>
  <c r="E165" i="20"/>
  <c r="E161" i="20"/>
  <c r="E160" i="20"/>
  <c r="E159" i="20"/>
  <c r="E158" i="20"/>
  <c r="E157" i="20"/>
  <c r="E156" i="20"/>
  <c r="E155" i="20"/>
  <c r="E151" i="20"/>
  <c r="E150" i="20"/>
  <c r="E149" i="20"/>
  <c r="E148" i="20"/>
  <c r="E147" i="20"/>
  <c r="E146" i="20"/>
  <c r="E145" i="20"/>
  <c r="E144" i="20"/>
  <c r="E140" i="20"/>
  <c r="E139" i="20"/>
  <c r="E138" i="20"/>
  <c r="E137" i="20"/>
  <c r="E136" i="20"/>
  <c r="E135" i="20"/>
  <c r="E134" i="20"/>
  <c r="E133" i="20"/>
  <c r="E129" i="20"/>
  <c r="E128" i="20"/>
  <c r="E125" i="20"/>
  <c r="E124" i="20"/>
  <c r="E123" i="20"/>
  <c r="E122" i="20"/>
  <c r="E121" i="20"/>
  <c r="E120" i="20"/>
  <c r="E114" i="20"/>
  <c r="E105" i="20"/>
  <c r="E106" i="20" s="1"/>
  <c r="E100" i="20"/>
  <c r="E72" i="20"/>
  <c r="E70" i="20"/>
  <c r="E69" i="20"/>
  <c r="E67" i="20"/>
  <c r="E66" i="20"/>
  <c r="E65" i="20"/>
  <c r="E64" i="20"/>
  <c r="E58" i="20"/>
  <c r="E56" i="20"/>
  <c r="E53" i="20"/>
  <c r="E52" i="20"/>
  <c r="E51" i="20"/>
  <c r="E43" i="20"/>
  <c r="E41" i="20"/>
  <c r="E37" i="20"/>
  <c r="E36" i="20"/>
  <c r="E35" i="20"/>
  <c r="E34" i="20"/>
  <c r="E30" i="20"/>
  <c r="E29" i="20"/>
  <c r="E28" i="20"/>
  <c r="E27" i="20"/>
  <c r="E24" i="20"/>
  <c r="C17" i="20"/>
  <c r="L16" i="20"/>
  <c r="C16" i="20"/>
  <c r="E176" i="20" s="1"/>
  <c r="E15" i="20"/>
  <c r="E14" i="20"/>
  <c r="E72" i="9"/>
  <c r="E70" i="9"/>
  <c r="E66" i="11"/>
  <c r="E59" i="12"/>
  <c r="E65" i="15"/>
  <c r="E65" i="1"/>
  <c r="E115" i="11"/>
  <c r="E114" i="11"/>
  <c r="E126" i="11"/>
  <c r="E125" i="11"/>
  <c r="E124" i="11"/>
  <c r="E123" i="11"/>
  <c r="E125" i="1"/>
  <c r="E124" i="1"/>
  <c r="E123" i="1"/>
  <c r="E122" i="1"/>
  <c r="E121" i="1"/>
  <c r="E114" i="1"/>
  <c r="E113" i="1"/>
  <c r="E43" i="7"/>
  <c r="E41" i="7"/>
  <c r="E40" i="7"/>
  <c r="E140" i="9"/>
  <c r="E139" i="9"/>
  <c r="E138" i="9"/>
  <c r="E137" i="9"/>
  <c r="E136" i="9"/>
  <c r="E135" i="9"/>
  <c r="E134" i="9"/>
  <c r="G182" i="15"/>
  <c r="F182" i="15"/>
  <c r="E182" i="15"/>
  <c r="D182" i="15"/>
  <c r="C182" i="15"/>
  <c r="B181" i="15"/>
  <c r="E22" i="15"/>
  <c r="E25" i="15"/>
  <c r="E26" i="15"/>
  <c r="E27" i="15"/>
  <c r="E28" i="15"/>
  <c r="E32" i="15"/>
  <c r="E33" i="15"/>
  <c r="E34" i="15"/>
  <c r="E35" i="15"/>
  <c r="E39" i="15"/>
  <c r="E41" i="15"/>
  <c r="E49" i="15"/>
  <c r="E50" i="15"/>
  <c r="E51" i="15"/>
  <c r="E54" i="15"/>
  <c r="E56" i="15"/>
  <c r="E61" i="15"/>
  <c r="E66" i="15" s="1"/>
  <c r="E63" i="15"/>
  <c r="E87" i="15"/>
  <c r="E92" i="15"/>
  <c r="E93" i="15"/>
  <c r="E101" i="15"/>
  <c r="E107" i="15"/>
  <c r="E108" i="15"/>
  <c r="E109" i="15"/>
  <c r="E110" i="15"/>
  <c r="E111" i="15"/>
  <c r="E112" i="15"/>
  <c r="E115" i="15"/>
  <c r="E116" i="15"/>
  <c r="E120" i="15"/>
  <c r="E127" i="15" s="1"/>
  <c r="E130" i="15"/>
  <c r="E131" i="15"/>
  <c r="E132" i="15"/>
  <c r="E133" i="15"/>
  <c r="E134" i="15"/>
  <c r="E135" i="15"/>
  <c r="E140" i="15"/>
  <c r="E141" i="15"/>
  <c r="E142" i="15"/>
  <c r="E143" i="15"/>
  <c r="E144" i="15"/>
  <c r="E145" i="15"/>
  <c r="E149" i="15"/>
  <c r="E150" i="15"/>
  <c r="E154" i="15"/>
  <c r="E155" i="15"/>
  <c r="E157" i="15"/>
  <c r="E14" i="15"/>
  <c r="E16" i="15" s="1"/>
  <c r="E162" i="15"/>
  <c r="B180" i="15"/>
  <c r="B179" i="15"/>
  <c r="B178" i="15"/>
  <c r="B177" i="15"/>
  <c r="C15" i="15"/>
  <c r="E175" i="9"/>
  <c r="C16" i="9"/>
  <c r="E176" i="9" s="1"/>
  <c r="C17" i="9"/>
  <c r="L16" i="9"/>
  <c r="E171" i="9"/>
  <c r="E170" i="9"/>
  <c r="E169" i="9"/>
  <c r="E168" i="9"/>
  <c r="E167" i="9"/>
  <c r="E166" i="9"/>
  <c r="E165" i="9"/>
  <c r="E161" i="9"/>
  <c r="E160" i="9"/>
  <c r="E159" i="9"/>
  <c r="E158" i="9"/>
  <c r="E157" i="9"/>
  <c r="E156" i="9"/>
  <c r="E155" i="9"/>
  <c r="E151" i="9"/>
  <c r="E150" i="9"/>
  <c r="E149" i="9"/>
  <c r="E148" i="9"/>
  <c r="E147" i="9"/>
  <c r="E145" i="9"/>
  <c r="E144" i="9"/>
  <c r="E146" i="9"/>
  <c r="E61" i="1"/>
  <c r="E128" i="12"/>
  <c r="E22" i="12"/>
  <c r="E25" i="12"/>
  <c r="E26" i="12"/>
  <c r="E67" i="9"/>
  <c r="E66" i="9"/>
  <c r="E65" i="9"/>
  <c r="E64" i="9"/>
  <c r="E15" i="9"/>
  <c r="E184" i="9"/>
  <c r="E182" i="9"/>
  <c r="E181" i="9"/>
  <c r="E180" i="9"/>
  <c r="E152" i="11"/>
  <c r="E139" i="11"/>
  <c r="E138" i="11"/>
  <c r="E137" i="11"/>
  <c r="E136" i="11"/>
  <c r="E135" i="11"/>
  <c r="E133" i="11"/>
  <c r="E132" i="11"/>
  <c r="E131" i="11"/>
  <c r="E130" i="11"/>
  <c r="E122" i="11"/>
  <c r="E62" i="11"/>
  <c r="E67" i="11" s="1"/>
  <c r="E16" i="11"/>
  <c r="E55" i="12"/>
  <c r="E60" i="12" s="1"/>
  <c r="G211" i="9"/>
  <c r="F211" i="9"/>
  <c r="E211" i="9"/>
  <c r="D211" i="9"/>
  <c r="C211" i="9"/>
  <c r="B210" i="9"/>
  <c r="B209" i="9"/>
  <c r="B208" i="9"/>
  <c r="B207" i="9"/>
  <c r="B206" i="9"/>
  <c r="E189" i="9"/>
  <c r="E133" i="9"/>
  <c r="E129" i="9"/>
  <c r="E128" i="9"/>
  <c r="E125" i="9"/>
  <c r="E124" i="9"/>
  <c r="E123" i="9"/>
  <c r="E122" i="9"/>
  <c r="E121" i="9"/>
  <c r="E120" i="9"/>
  <c r="E114" i="9"/>
  <c r="E105" i="9"/>
  <c r="E106" i="9" s="1"/>
  <c r="E100" i="9"/>
  <c r="E69" i="9"/>
  <c r="E58" i="9"/>
  <c r="E56" i="9"/>
  <c r="E53" i="9"/>
  <c r="E52" i="9"/>
  <c r="E51" i="9"/>
  <c r="E43" i="9"/>
  <c r="E41" i="9"/>
  <c r="E37" i="9"/>
  <c r="E36" i="9"/>
  <c r="E35" i="9"/>
  <c r="E34" i="9"/>
  <c r="E30" i="9"/>
  <c r="E29" i="9"/>
  <c r="E28" i="9"/>
  <c r="E27" i="9"/>
  <c r="E24" i="9"/>
  <c r="E14" i="9"/>
  <c r="G154" i="12"/>
  <c r="F154" i="12"/>
  <c r="E154" i="12"/>
  <c r="D154" i="12"/>
  <c r="C154" i="12"/>
  <c r="B153" i="12"/>
  <c r="B152" i="12"/>
  <c r="B151" i="12"/>
  <c r="B150" i="12"/>
  <c r="B149" i="12"/>
  <c r="E133" i="12"/>
  <c r="E130" i="12"/>
  <c r="E124" i="12"/>
  <c r="E123" i="12"/>
  <c r="E114" i="12"/>
  <c r="E120" i="12" s="1"/>
  <c r="E110" i="12"/>
  <c r="E109" i="12"/>
  <c r="E106" i="12"/>
  <c r="E105" i="12"/>
  <c r="E104" i="12"/>
  <c r="E103" i="12"/>
  <c r="E102" i="12"/>
  <c r="E101" i="12"/>
  <c r="E95" i="12"/>
  <c r="E86" i="12"/>
  <c r="E87" i="12" s="1"/>
  <c r="E81" i="12"/>
  <c r="E57" i="12"/>
  <c r="E50" i="12"/>
  <c r="E48" i="12"/>
  <c r="E45" i="12"/>
  <c r="E44" i="12"/>
  <c r="E43" i="12"/>
  <c r="E35" i="12"/>
  <c r="E33" i="12"/>
  <c r="E28" i="12"/>
  <c r="E27" i="12"/>
  <c r="E14" i="12"/>
  <c r="E16" i="12" s="1"/>
  <c r="G178" i="11"/>
  <c r="F178" i="11"/>
  <c r="E178" i="11"/>
  <c r="D178" i="11"/>
  <c r="C178" i="11"/>
  <c r="B177" i="11"/>
  <c r="B176" i="11"/>
  <c r="B175" i="11"/>
  <c r="B174" i="11"/>
  <c r="B173" i="11"/>
  <c r="E155" i="11"/>
  <c r="E150" i="11"/>
  <c r="E148" i="11"/>
  <c r="E144" i="11"/>
  <c r="E143" i="11"/>
  <c r="E121" i="11"/>
  <c r="E117" i="11"/>
  <c r="E116" i="11"/>
  <c r="E113" i="11"/>
  <c r="E112" i="11"/>
  <c r="E111" i="11"/>
  <c r="E110" i="11"/>
  <c r="E109" i="11"/>
  <c r="E108" i="11"/>
  <c r="E102" i="11"/>
  <c r="E93" i="11"/>
  <c r="E94" i="11" s="1"/>
  <c r="E88" i="11"/>
  <c r="E64" i="11"/>
  <c r="E57" i="11"/>
  <c r="E55" i="11"/>
  <c r="E52" i="11"/>
  <c r="E51" i="11"/>
  <c r="E50" i="11"/>
  <c r="E42" i="11"/>
  <c r="E40" i="11"/>
  <c r="E36" i="11"/>
  <c r="E35" i="11"/>
  <c r="E34" i="11"/>
  <c r="E33" i="11"/>
  <c r="E29" i="11"/>
  <c r="E28" i="11"/>
  <c r="E27" i="11"/>
  <c r="E26" i="11"/>
  <c r="E23" i="11"/>
  <c r="E14" i="11"/>
  <c r="E22" i="1"/>
  <c r="E87" i="1"/>
  <c r="E139" i="1"/>
  <c r="E136" i="1"/>
  <c r="E134" i="1"/>
  <c r="E130" i="1"/>
  <c r="E129" i="1"/>
  <c r="E101" i="1"/>
  <c r="E56" i="1"/>
  <c r="E27" i="7"/>
  <c r="E51" i="1"/>
  <c r="E50" i="1"/>
  <c r="E49" i="1"/>
  <c r="E39" i="1"/>
  <c r="E35" i="1"/>
  <c r="E34" i="1"/>
  <c r="E33" i="1"/>
  <c r="E32" i="1"/>
  <c r="E28" i="1"/>
  <c r="E63" i="1"/>
  <c r="F63" i="7"/>
  <c r="F62" i="7"/>
  <c r="F61" i="7"/>
  <c r="F60" i="7"/>
  <c r="F59" i="7"/>
  <c r="F58" i="7"/>
  <c r="F64" i="7" s="1"/>
  <c r="F57" i="7"/>
  <c r="E54" i="1"/>
  <c r="E27" i="1"/>
  <c r="E26" i="1"/>
  <c r="E34" i="7"/>
  <c r="H34" i="7"/>
  <c r="I45" i="7"/>
  <c r="I44" i="7"/>
  <c r="I43" i="7"/>
  <c r="I41" i="7"/>
  <c r="I40" i="7"/>
  <c r="E52" i="7"/>
  <c r="E51" i="7"/>
  <c r="E50" i="7"/>
  <c r="E49" i="7"/>
  <c r="E42" i="7"/>
  <c r="E23" i="7"/>
  <c r="E22" i="7"/>
  <c r="E21" i="7"/>
  <c r="E20" i="7"/>
  <c r="E19" i="7"/>
  <c r="E18" i="7"/>
  <c r="E17" i="7"/>
  <c r="B159" i="1"/>
  <c r="B158" i="1"/>
  <c r="B155" i="1"/>
  <c r="B156" i="1"/>
  <c r="G160" i="1"/>
  <c r="F160" i="1"/>
  <c r="C160" i="1"/>
  <c r="D160" i="1"/>
  <c r="B157" i="1"/>
  <c r="E160" i="1"/>
  <c r="E14" i="1"/>
  <c r="E16" i="1" s="1"/>
  <c r="E41" i="1"/>
  <c r="E25" i="1"/>
  <c r="E111" i="1"/>
  <c r="E109" i="1"/>
  <c r="E115" i="1"/>
  <c r="E116" i="1"/>
  <c r="E108" i="1"/>
  <c r="E110" i="1"/>
  <c r="E120" i="1"/>
  <c r="E92" i="1"/>
  <c r="E93" i="1" s="1"/>
  <c r="E107" i="1"/>
  <c r="E112" i="1"/>
  <c r="E66" i="1" l="1"/>
  <c r="E111" i="12"/>
  <c r="E172" i="22"/>
  <c r="E140" i="11"/>
  <c r="E18" i="22"/>
  <c r="E186" i="22" s="1"/>
  <c r="E73" i="9"/>
  <c r="E18" i="23"/>
  <c r="E194" i="23" s="1"/>
  <c r="E73" i="23"/>
  <c r="E60" i="22"/>
  <c r="E141" i="22"/>
  <c r="E162" i="22"/>
  <c r="E73" i="22"/>
  <c r="E130" i="22"/>
  <c r="E152" i="22"/>
  <c r="E172" i="21"/>
  <c r="E141" i="21"/>
  <c r="E152" i="21"/>
  <c r="E162" i="21"/>
  <c r="E60" i="21"/>
  <c r="E130" i="21"/>
  <c r="E73" i="21"/>
  <c r="E18" i="20"/>
  <c r="E194" i="20" s="1"/>
  <c r="E172" i="20"/>
  <c r="E60" i="20"/>
  <c r="E130" i="20"/>
  <c r="E73" i="20"/>
  <c r="E141" i="20"/>
  <c r="E152" i="20"/>
  <c r="E162" i="20"/>
  <c r="E130" i="23"/>
  <c r="E141" i="23"/>
  <c r="E152" i="23"/>
  <c r="E172" i="23"/>
  <c r="E60" i="23"/>
  <c r="E162" i="23"/>
  <c r="E186" i="21"/>
  <c r="E194" i="21"/>
  <c r="E172" i="9"/>
  <c r="E18" i="9"/>
  <c r="E186" i="9" s="1"/>
  <c r="E162" i="9"/>
  <c r="E152" i="9"/>
  <c r="E125" i="12"/>
  <c r="E137" i="15"/>
  <c r="E126" i="1"/>
  <c r="E131" i="1" s="1"/>
  <c r="E127" i="11"/>
  <c r="E145" i="11" s="1"/>
  <c r="I46" i="7"/>
  <c r="I47" i="7" s="1"/>
  <c r="E141" i="9"/>
  <c r="E159" i="15"/>
  <c r="E166" i="15"/>
  <c r="E146" i="15"/>
  <c r="E130" i="9"/>
  <c r="E60" i="9"/>
  <c r="E17" i="11"/>
  <c r="E160" i="11" s="1"/>
  <c r="E118" i="11"/>
  <c r="E59" i="11"/>
  <c r="E104" i="11" s="1"/>
  <c r="E52" i="12"/>
  <c r="E97" i="12" s="1"/>
  <c r="E136" i="12" s="1"/>
  <c r="E138" i="12"/>
  <c r="E117" i="15"/>
  <c r="E58" i="15"/>
  <c r="E103" i="15" s="1"/>
  <c r="E117" i="1"/>
  <c r="E58" i="1"/>
  <c r="E103" i="1" s="1"/>
  <c r="E144" i="1"/>
  <c r="E116" i="23" l="1"/>
  <c r="E192" i="23" s="1"/>
  <c r="E186" i="23"/>
  <c r="E194" i="22"/>
  <c r="E116" i="9"/>
  <c r="E192" i="9" s="1"/>
  <c r="E116" i="20"/>
  <c r="E192" i="20" s="1"/>
  <c r="E186" i="20"/>
  <c r="E151" i="15"/>
  <c r="E177" i="22"/>
  <c r="E116" i="22"/>
  <c r="E192" i="22" s="1"/>
  <c r="E177" i="21"/>
  <c r="E116" i="21"/>
  <c r="E177" i="20"/>
  <c r="E177" i="23"/>
  <c r="E194" i="9"/>
  <c r="E177" i="9"/>
  <c r="E158" i="11"/>
  <c r="E161" i="11" s="1"/>
  <c r="G176" i="11" s="1"/>
  <c r="E164" i="15"/>
  <c r="E142" i="1"/>
  <c r="E145" i="1" s="1"/>
  <c r="E159" i="1" s="1"/>
  <c r="E139" i="12"/>
  <c r="G152" i="12" s="1"/>
  <c r="E167" i="15" l="1"/>
  <c r="E177" i="15" s="1"/>
  <c r="E195" i="9"/>
  <c r="F207" i="9" s="1"/>
  <c r="E164" i="11"/>
  <c r="E166" i="11" s="1"/>
  <c r="E195" i="20"/>
  <c r="G210" i="20" s="1"/>
  <c r="E195" i="22"/>
  <c r="D210" i="22" s="1"/>
  <c r="E195" i="23"/>
  <c r="E210" i="23" s="1"/>
  <c r="E192" i="21"/>
  <c r="E195" i="21" s="1"/>
  <c r="D173" i="11"/>
  <c r="D176" i="11"/>
  <c r="F176" i="11"/>
  <c r="C177" i="11"/>
  <c r="C176" i="11"/>
  <c r="F174" i="11"/>
  <c r="G177" i="11"/>
  <c r="F177" i="11"/>
  <c r="C175" i="11"/>
  <c r="E176" i="11"/>
  <c r="C174" i="11"/>
  <c r="C173" i="11"/>
  <c r="E174" i="11"/>
  <c r="G174" i="11"/>
  <c r="D177" i="11"/>
  <c r="F175" i="11"/>
  <c r="G173" i="11"/>
  <c r="F173" i="11"/>
  <c r="D174" i="11"/>
  <c r="E177" i="11"/>
  <c r="G175" i="11"/>
  <c r="E173" i="11"/>
  <c r="D175" i="11"/>
  <c r="E175" i="11"/>
  <c r="E162" i="11"/>
  <c r="F152" i="12"/>
  <c r="F149" i="12"/>
  <c r="D151" i="12"/>
  <c r="D150" i="12"/>
  <c r="G153" i="12"/>
  <c r="E142" i="12"/>
  <c r="C151" i="12"/>
  <c r="C150" i="12"/>
  <c r="D149" i="12"/>
  <c r="E153" i="12"/>
  <c r="C153" i="12"/>
  <c r="D152" i="12"/>
  <c r="C149" i="12"/>
  <c r="C152" i="12"/>
  <c r="G150" i="12"/>
  <c r="E151" i="12"/>
  <c r="E140" i="12"/>
  <c r="E152" i="12"/>
  <c r="G151" i="12"/>
  <c r="D153" i="12"/>
  <c r="F153" i="12"/>
  <c r="G149" i="12"/>
  <c r="E150" i="12"/>
  <c r="F150" i="12"/>
  <c r="E149" i="12"/>
  <c r="F151" i="12"/>
  <c r="C181" i="15"/>
  <c r="G180" i="15"/>
  <c r="G179" i="15"/>
  <c r="E180" i="15"/>
  <c r="F177" i="15"/>
  <c r="D179" i="15"/>
  <c r="C177" i="15"/>
  <c r="C180" i="15"/>
  <c r="D180" i="15"/>
  <c r="F178" i="15"/>
  <c r="E179" i="15"/>
  <c r="F181" i="15"/>
  <c r="E178" i="15"/>
  <c r="G177" i="15"/>
  <c r="E168" i="15"/>
  <c r="C156" i="1"/>
  <c r="E157" i="1"/>
  <c r="D155" i="1"/>
  <c r="C157" i="1"/>
  <c r="E158" i="1"/>
  <c r="C155" i="1"/>
  <c r="D156" i="1"/>
  <c r="E156" i="1"/>
  <c r="C158" i="1"/>
  <c r="D158" i="1"/>
  <c r="E146" i="1"/>
  <c r="C159" i="1"/>
  <c r="F155" i="1"/>
  <c r="E148" i="1"/>
  <c r="D157" i="1"/>
  <c r="G158" i="1"/>
  <c r="F156" i="1"/>
  <c r="F158" i="1"/>
  <c r="G155" i="1"/>
  <c r="G157" i="1"/>
  <c r="G159" i="1"/>
  <c r="F157" i="1"/>
  <c r="F159" i="1"/>
  <c r="E155" i="1"/>
  <c r="G156" i="1"/>
  <c r="D159" i="1"/>
  <c r="C179" i="15" l="1"/>
  <c r="D178" i="15"/>
  <c r="D177" i="15"/>
  <c r="G181" i="15"/>
  <c r="G178" i="15"/>
  <c r="C178" i="15"/>
  <c r="F179" i="15"/>
  <c r="E181" i="15"/>
  <c r="E171" i="15"/>
  <c r="F180" i="15"/>
  <c r="D181" i="15"/>
  <c r="E170" i="15"/>
  <c r="G207" i="23"/>
  <c r="D210" i="20"/>
  <c r="C210" i="20"/>
  <c r="E196" i="20"/>
  <c r="F210" i="9"/>
  <c r="E206" i="9"/>
  <c r="E198" i="9"/>
  <c r="E209" i="9"/>
  <c r="C207" i="9"/>
  <c r="E196" i="9"/>
  <c r="C209" i="9"/>
  <c r="C206" i="9"/>
  <c r="E210" i="9"/>
  <c r="F209" i="9"/>
  <c r="D207" i="9"/>
  <c r="G207" i="9"/>
  <c r="E199" i="9"/>
  <c r="D210" i="9"/>
  <c r="G210" i="9"/>
  <c r="D208" i="9"/>
  <c r="G208" i="9"/>
  <c r="D206" i="9"/>
  <c r="F206" i="9"/>
  <c r="C208" i="9"/>
  <c r="E207" i="9"/>
  <c r="D209" i="9"/>
  <c r="F208" i="9"/>
  <c r="C210" i="9"/>
  <c r="E208" i="9"/>
  <c r="G206" i="9"/>
  <c r="G209" i="9"/>
  <c r="F208" i="20"/>
  <c r="D207" i="20"/>
  <c r="F207" i="20"/>
  <c r="D208" i="20"/>
  <c r="E199" i="20"/>
  <c r="E206" i="20"/>
  <c r="E210" i="20"/>
  <c r="C208" i="20"/>
  <c r="E209" i="20"/>
  <c r="F210" i="20"/>
  <c r="G206" i="20"/>
  <c r="E207" i="20"/>
  <c r="E198" i="20"/>
  <c r="F206" i="20"/>
  <c r="C207" i="20"/>
  <c r="C209" i="20"/>
  <c r="G209" i="20"/>
  <c r="G208" i="20"/>
  <c r="D209" i="20"/>
  <c r="E208" i="20"/>
  <c r="G207" i="20"/>
  <c r="C206" i="20"/>
  <c r="D206" i="20"/>
  <c r="F209" i="20"/>
  <c r="E199" i="22"/>
  <c r="C206" i="22"/>
  <c r="C207" i="22"/>
  <c r="G210" i="22"/>
  <c r="E210" i="22"/>
  <c r="G209" i="22"/>
  <c r="F208" i="22"/>
  <c r="D209" i="22"/>
  <c r="F210" i="22"/>
  <c r="E209" i="22"/>
  <c r="E196" i="22"/>
  <c r="G207" i="22"/>
  <c r="E206" i="22"/>
  <c r="C210" i="22"/>
  <c r="G206" i="22"/>
  <c r="C209" i="22"/>
  <c r="D208" i="22"/>
  <c r="F209" i="22"/>
  <c r="D207" i="22"/>
  <c r="F206" i="22"/>
  <c r="C208" i="22"/>
  <c r="E207" i="22"/>
  <c r="F207" i="22"/>
  <c r="E208" i="22"/>
  <c r="D206" i="22"/>
  <c r="G208" i="22"/>
  <c r="E198" i="22"/>
  <c r="G210" i="23"/>
  <c r="E206" i="23"/>
  <c r="C210" i="23"/>
  <c r="F209" i="23"/>
  <c r="D208" i="23"/>
  <c r="F208" i="23"/>
  <c r="G208" i="23"/>
  <c r="F206" i="23"/>
  <c r="F210" i="23"/>
  <c r="E198" i="23"/>
  <c r="E196" i="23"/>
  <c r="D207" i="23"/>
  <c r="E199" i="23"/>
  <c r="E209" i="23"/>
  <c r="C208" i="23"/>
  <c r="C206" i="23"/>
  <c r="E207" i="23"/>
  <c r="D209" i="23"/>
  <c r="E208" i="23"/>
  <c r="D210" i="23"/>
  <c r="G206" i="23"/>
  <c r="C209" i="23"/>
  <c r="C207" i="23"/>
  <c r="F207" i="23"/>
  <c r="G209" i="23"/>
  <c r="D206" i="23"/>
  <c r="G206" i="21"/>
  <c r="F210" i="21"/>
  <c r="C210" i="21"/>
  <c r="F206" i="21"/>
  <c r="C206" i="21"/>
  <c r="D208" i="21"/>
  <c r="D207" i="21"/>
  <c r="C208" i="21"/>
  <c r="G208" i="21"/>
  <c r="D209" i="21"/>
  <c r="E209" i="21"/>
  <c r="G209" i="21"/>
  <c r="E208" i="21"/>
  <c r="F207" i="21"/>
  <c r="F208" i="21"/>
  <c r="G207" i="21"/>
  <c r="C207" i="21"/>
  <c r="E196" i="21"/>
  <c r="G210" i="21"/>
  <c r="E199" i="21"/>
  <c r="C209" i="21"/>
  <c r="D206" i="21"/>
  <c r="F209" i="21"/>
  <c r="E198" i="21"/>
  <c r="E206" i="21"/>
  <c r="E207" i="21"/>
  <c r="E210" i="21"/>
  <c r="D210" i="21"/>
</calcChain>
</file>

<file path=xl/sharedStrings.xml><?xml version="1.0" encoding="utf-8"?>
<sst xmlns="http://schemas.openxmlformats.org/spreadsheetml/2006/main" count="2055" uniqueCount="403">
  <si>
    <t>bu/acre</t>
  </si>
  <si>
    <t>Corn Seed</t>
  </si>
  <si>
    <t>Weed Control</t>
  </si>
  <si>
    <t>Combine</t>
  </si>
  <si>
    <t>Fertilizer</t>
  </si>
  <si>
    <t>Urea</t>
  </si>
  <si>
    <t>% N</t>
  </si>
  <si>
    <t>Other</t>
  </si>
  <si>
    <t>Fungicide Application</t>
  </si>
  <si>
    <t>Field cultivator</t>
  </si>
  <si>
    <t>Irrigation</t>
  </si>
  <si>
    <t>Total Direct Production Inputs</t>
  </si>
  <si>
    <t>Insect Control</t>
  </si>
  <si>
    <t xml:space="preserve">   Potassium</t>
  </si>
  <si>
    <t xml:space="preserve">        Urea</t>
  </si>
  <si>
    <t xml:space="preserve">        28%</t>
  </si>
  <si>
    <t xml:space="preserve">        32%</t>
  </si>
  <si>
    <t xml:space="preserve">       Anhydrous</t>
  </si>
  <si>
    <t>Price and Yield Sensitivity Analysis</t>
  </si>
  <si>
    <t>Price Change</t>
  </si>
  <si>
    <t>+10%</t>
  </si>
  <si>
    <t>+20%</t>
  </si>
  <si>
    <t>-10%</t>
  </si>
  <si>
    <t>-20%</t>
  </si>
  <si>
    <t>Yield Change</t>
  </si>
  <si>
    <t>Price per Bushel</t>
  </si>
  <si>
    <t>Net Return per Acre</t>
  </si>
  <si>
    <t>Yield</t>
  </si>
  <si>
    <t>Crop Insurance</t>
  </si>
  <si>
    <t xml:space="preserve">       </t>
  </si>
  <si>
    <t>Seed treatment</t>
  </si>
  <si>
    <t>Soil applied</t>
  </si>
  <si>
    <t>Storage</t>
  </si>
  <si>
    <t xml:space="preserve">Dry Starter </t>
  </si>
  <si>
    <t>Hauling</t>
  </si>
  <si>
    <t>An AA/EEO employer, University of Wisconsin-Divison of Extension provides equal opportunities in employment and programming, including Title VI, Title IX and ADA requirements.</t>
  </si>
  <si>
    <t>La Universidad de Wisconsin-Extension, un empleador con igualdad de oportunidades y acción afirmativa (EEO/AA), proporciona igualdad de oportunidades en empleo y programas, incluyendo los requisitos del Titulo VI (Title VI), Titulo IX (Title IX) y de la Ley para Americanos con Discapacidades (ADA).</t>
  </si>
  <si>
    <t>Revenue</t>
  </si>
  <si>
    <t xml:space="preserve">Grain </t>
  </si>
  <si>
    <t>Total</t>
  </si>
  <si>
    <t>Expenses</t>
  </si>
  <si>
    <t>Potassium</t>
  </si>
  <si>
    <t>Planter</t>
  </si>
  <si>
    <t>Grain Cart</t>
  </si>
  <si>
    <t>Cost per Bushel (Breakeven)</t>
  </si>
  <si>
    <t>Labor</t>
  </si>
  <si>
    <t>Fertilizer Cost Calculator</t>
  </si>
  <si>
    <t xml:space="preserve">Nitrogen </t>
  </si>
  <si>
    <t>Anhydrous Ammonia</t>
  </si>
  <si>
    <t>Phosphorus</t>
  </si>
  <si>
    <t>MAP 11-52-0</t>
  </si>
  <si>
    <t>DAP 18-46-0</t>
  </si>
  <si>
    <t>TSP 0-46-0</t>
  </si>
  <si>
    <t>MESZ 12-40-0-10S-1 Zn</t>
  </si>
  <si>
    <t>ESN</t>
  </si>
  <si>
    <t>Potash 0-0-60</t>
  </si>
  <si>
    <t>White Potash 0-0-62</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</si>
  <si>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</si>
  <si>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</si>
  <si>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t>8 mths @operating loan rate * (Direct inputs plus 20% of Tillage)</t>
  </si>
  <si>
    <t>% N of fertilizer</t>
  </si>
  <si>
    <t xml:space="preserve">lb of N </t>
  </si>
  <si>
    <t>lb P2O5 applied</t>
  </si>
  <si>
    <t>Total lb of N applied from P fertilizers</t>
  </si>
  <si>
    <t>Material</t>
  </si>
  <si>
    <t xml:space="preserve">Agrotain Advanced </t>
  </si>
  <si>
    <t>Bulk Blend</t>
  </si>
  <si>
    <t>$/acre</t>
  </si>
  <si>
    <t>lb N/acre</t>
  </si>
  <si>
    <t>$/lb N</t>
  </si>
  <si>
    <t>tons/acre</t>
  </si>
  <si>
    <t>Directions in yellow boxes to the right of the entry section</t>
  </si>
  <si>
    <t># passes</t>
  </si>
  <si>
    <t>Soil Testing and Nutrient Management Planning Cost Calculator</t>
  </si>
  <si>
    <t>Basic Soil Test</t>
  </si>
  <si>
    <t>Pre Plant N Test</t>
  </si>
  <si>
    <t>Pre Sidedress N test</t>
  </si>
  <si>
    <t>years</t>
  </si>
  <si>
    <t>Total Cost per Acre Per Year</t>
  </si>
  <si>
    <t>Enter your numbers and information  in blue cells</t>
  </si>
  <si>
    <t xml:space="preserve">  Ag Lime</t>
  </si>
  <si>
    <t>Cover Crop Seed</t>
  </si>
  <si>
    <t>Chisel plow</t>
  </si>
  <si>
    <t>Enter your numbers and information in blue cells</t>
  </si>
  <si>
    <t>Directions are in yellow boxes to the right</t>
  </si>
  <si>
    <t>Management at 5% of gross revenue</t>
  </si>
  <si>
    <t xml:space="preserve">N Stabilizer/ Extender </t>
  </si>
  <si>
    <t>lb product /acre</t>
  </si>
  <si>
    <t>Fertilizer applied on a pounds of product per acre basis</t>
  </si>
  <si>
    <t>broadcast P &amp; K</t>
  </si>
  <si>
    <t>Side dress N</t>
  </si>
  <si>
    <t>Nutrient Management Plan</t>
  </si>
  <si>
    <t>Pesticides</t>
  </si>
  <si>
    <t>Other Expenses</t>
  </si>
  <si>
    <t>Seed Costs</t>
  </si>
  <si>
    <t xml:space="preserve">Material </t>
  </si>
  <si>
    <t>Instinct 2</t>
  </si>
  <si>
    <t>Fertilizer Treatment Costs (nitrification inhibitors etc.) for materials applied per acre</t>
  </si>
  <si>
    <r>
      <t xml:space="preserve">Ag Lime Application </t>
    </r>
    <r>
      <rPr>
        <i/>
        <sz val="10"/>
        <rFont val="Arial"/>
        <family val="2"/>
      </rPr>
      <t>(if custom hired and not part of ag lime cost)</t>
    </r>
  </si>
  <si>
    <t xml:space="preserve">Application Cost* </t>
  </si>
  <si>
    <t>Field Operations</t>
  </si>
  <si>
    <t>Soil testing cost per acre per year</t>
  </si>
  <si>
    <t>Crop Scouting</t>
  </si>
  <si>
    <t>Total Fertilizer Including Hired Application Costs</t>
  </si>
  <si>
    <t>Hired Labor not Accounted for Elsewhere</t>
  </si>
  <si>
    <t>$/hr</t>
  </si>
  <si>
    <t>Land Rent/ Ownership Cost</t>
  </si>
  <si>
    <t>Drying and Storage</t>
  </si>
  <si>
    <t>Plant cover crop</t>
  </si>
  <si>
    <t>points to dry</t>
  </si>
  <si>
    <t>Drying</t>
  </si>
  <si>
    <t>% crop stored</t>
  </si>
  <si>
    <t># of mos</t>
  </si>
  <si>
    <r>
      <t xml:space="preserve">Interest rate of operating loan    </t>
    </r>
    <r>
      <rPr>
        <sz val="8"/>
        <rFont val="Arial"/>
        <family val="2"/>
      </rPr>
      <t xml:space="preserve"> </t>
    </r>
  </si>
  <si>
    <t>Total Seed Cost</t>
  </si>
  <si>
    <t>Direct cost per acre inch applied</t>
  </si>
  <si>
    <t># inches applied</t>
  </si>
  <si>
    <t>Total Irrigation</t>
  </si>
  <si>
    <t>Annual overhead cost per acre</t>
  </si>
  <si>
    <t>Total Pesticide and Custom Application Cost</t>
  </si>
  <si>
    <t>Total other Expenses</t>
  </si>
  <si>
    <t>Preharvest Field Operations</t>
  </si>
  <si>
    <t>Harvest Field Operations</t>
  </si>
  <si>
    <t>Total Post Harvest Operations</t>
  </si>
  <si>
    <t>miles hauled</t>
  </si>
  <si>
    <t>hr/acre</t>
  </si>
  <si>
    <t>Burndown Herbicide Product</t>
  </si>
  <si>
    <t>Pre-plant Herbicide Product</t>
  </si>
  <si>
    <t>Post Herbicide Product Pass 1</t>
  </si>
  <si>
    <t>Post Herbicide Product Pass 2</t>
  </si>
  <si>
    <t>Fungicide Product Pass 1</t>
  </si>
  <si>
    <t>Fungicide Product Pass 2</t>
  </si>
  <si>
    <t>Insecticide Product</t>
  </si>
  <si>
    <t xml:space="preserve">  Manure</t>
  </si>
  <si>
    <t>to point of sale</t>
  </si>
  <si>
    <t>Fertilizer applied on a pounds of nutrient per acre not accounted for above</t>
  </si>
  <si>
    <t>lb N from Phos products used below*</t>
  </si>
  <si>
    <t>Hauling to farm</t>
  </si>
  <si>
    <t>broadcast blend</t>
  </si>
  <si>
    <t>Soybean Seed</t>
  </si>
  <si>
    <t xml:space="preserve">Bags </t>
  </si>
  <si>
    <t>Cover</t>
  </si>
  <si>
    <t>Cost per Ton as fed (Breakeven)</t>
  </si>
  <si>
    <t>Pricing on a per pound of fertilizer product basis</t>
  </si>
  <si>
    <t>Silage storage losses at recommended moistures</t>
  </si>
  <si>
    <t>Silo Type</t>
  </si>
  <si>
    <t>Top unloading tower</t>
  </si>
  <si>
    <t>11 to 19%</t>
  </si>
  <si>
    <t>Oxygen limiting tower</t>
  </si>
  <si>
    <t>6 to 13%</t>
  </si>
  <si>
    <t>Pile or bunker, covered</t>
  </si>
  <si>
    <t>18 to 34%</t>
  </si>
  <si>
    <t>Bags</t>
  </si>
  <si>
    <t>9 to 14%</t>
  </si>
  <si>
    <t>Percent Loss</t>
  </si>
  <si>
    <t>% loss</t>
  </si>
  <si>
    <t>Holmes and Muck, University of Wisconsin Madison</t>
  </si>
  <si>
    <t>Storage and Shrink</t>
  </si>
  <si>
    <t>winter wheat</t>
  </si>
  <si>
    <t>Straw</t>
  </si>
  <si>
    <t>Small Grain Seed</t>
  </si>
  <si>
    <t>Bale</t>
  </si>
  <si>
    <t>Rake straw</t>
  </si>
  <si>
    <t>Haul to farm</t>
  </si>
  <si>
    <t xml:space="preserve">Hauling Grain </t>
  </si>
  <si>
    <t>Grain Storage</t>
  </si>
  <si>
    <t xml:space="preserve">Cost per Bushel (Breakeven) </t>
  </si>
  <si>
    <t>Grain Harvest Field Operations per Acre</t>
  </si>
  <si>
    <t>Straw Harvest Operations Per Bale</t>
  </si>
  <si>
    <t xml:space="preserve">Total Straw Field Operations </t>
  </si>
  <si>
    <t>Grain Expenses per acre</t>
  </si>
  <si>
    <t>Hay Price Converter for Moisture</t>
  </si>
  <si>
    <t>Ammonium Sulfate</t>
  </si>
  <si>
    <t>Alfalfa Seed</t>
  </si>
  <si>
    <t>Nurse Crop Seed</t>
  </si>
  <si>
    <t>Perennial grass Seed</t>
  </si>
  <si>
    <t>Insecticide Product Pass 1</t>
  </si>
  <si>
    <t>Insecticide Product Pass 2</t>
  </si>
  <si>
    <t>Insecticide Product Pass 3</t>
  </si>
  <si>
    <t>Innoculant</t>
  </si>
  <si>
    <t>% of crop stored</t>
  </si>
  <si>
    <t>% of crop treated</t>
  </si>
  <si>
    <t xml:space="preserve">bale wrap </t>
  </si>
  <si>
    <t>Expected years of stand</t>
  </si>
  <si>
    <t>Total Preharvest Field Operations</t>
  </si>
  <si>
    <t>Percent moisture of haylage</t>
  </si>
  <si>
    <t>Haylage price adjusted for moisture</t>
  </si>
  <si>
    <t>Dry Hay Price* $/ton</t>
  </si>
  <si>
    <t>* assumed to be 13% moisture</t>
  </si>
  <si>
    <t>#  passes</t>
  </si>
  <si>
    <t>Fertilizer Treatment Costs  (urease inhibitors etc.) for materials applied per ton of fertilizer</t>
  </si>
  <si>
    <t>% nutrient in fertilizer</t>
  </si>
  <si>
    <t>$ Value of N applied from P fertilizers</t>
  </si>
  <si>
    <t xml:space="preserve">   Phosphorus</t>
  </si>
  <si>
    <r>
      <t>lbs P</t>
    </r>
    <r>
      <rPr>
        <b/>
        <vertAlign val="subscript"/>
        <sz val="10"/>
        <rFont val="Arial"/>
        <family val="2"/>
      </rPr>
      <t>2</t>
    </r>
    <r>
      <rPr>
        <b/>
        <sz val="10"/>
        <rFont val="Arial"/>
        <family val="2"/>
      </rPr>
      <t>O</t>
    </r>
    <r>
      <rPr>
        <b/>
        <vertAlign val="subscript"/>
        <sz val="10"/>
        <rFont val="Arial"/>
        <family val="2"/>
      </rPr>
      <t xml:space="preserve">5 </t>
    </r>
  </si>
  <si>
    <r>
      <t>lbs K</t>
    </r>
    <r>
      <rPr>
        <b/>
        <vertAlign val="subscript"/>
        <sz val="10"/>
        <rFont val="Arial"/>
        <family val="2"/>
      </rPr>
      <t>2</t>
    </r>
    <r>
      <rPr>
        <b/>
        <sz val="10"/>
        <rFont val="Arial"/>
        <family val="2"/>
      </rPr>
      <t xml:space="preserve">O </t>
    </r>
  </si>
  <si>
    <t>Years to pro-rate</t>
  </si>
  <si>
    <t>Total Seed Cost per Acre</t>
  </si>
  <si>
    <t>Total Fertilizer Including Hired Application Costs per Acre</t>
  </si>
  <si>
    <t>Total Pesticide and Custom Application Cost per Acre</t>
  </si>
  <si>
    <t>Total Revenue per Acre</t>
  </si>
  <si>
    <t>Total Irrigation per Acre</t>
  </si>
  <si>
    <t>Total other Expenses per Acre</t>
  </si>
  <si>
    <t>Total Direct Production Inputs per Acre</t>
  </si>
  <si>
    <t>Total Harvest Field Operations per Acre</t>
  </si>
  <si>
    <t>Total Post Harvest Operations per Acre</t>
  </si>
  <si>
    <t>Cost per Ton dry matter basis</t>
  </si>
  <si>
    <t xml:space="preserve">Corn Silage </t>
  </si>
  <si>
    <t>Sulfur</t>
  </si>
  <si>
    <t>top dress N</t>
  </si>
  <si>
    <t>Straw  Harvest Field Operations per Acre</t>
  </si>
  <si>
    <t>bale</t>
  </si>
  <si>
    <t>bunker/pile cover</t>
  </si>
  <si>
    <t xml:space="preserve">bags </t>
  </si>
  <si>
    <t>Storage loss</t>
  </si>
  <si>
    <t>Forage yield dry matter</t>
  </si>
  <si>
    <t>Nurse crop yield dry matter</t>
  </si>
  <si>
    <t>Forage yield</t>
  </si>
  <si>
    <t>Nurse crop yield</t>
  </si>
  <si>
    <r>
      <t xml:space="preserve">Cost per ton of forage </t>
    </r>
    <r>
      <rPr>
        <b/>
        <sz val="10"/>
        <rFont val="Arial"/>
        <family val="2"/>
      </rPr>
      <t>as fed</t>
    </r>
    <r>
      <rPr>
        <sz val="10"/>
        <rFont val="Arial"/>
        <family val="2"/>
      </rPr>
      <t xml:space="preserve"> harvested (Breakeven)</t>
    </r>
  </si>
  <si>
    <r>
      <t xml:space="preserve">Cost per ton of forage </t>
    </r>
    <r>
      <rPr>
        <b/>
        <sz val="10"/>
        <rFont val="Arial"/>
        <family val="2"/>
      </rPr>
      <t xml:space="preserve">dry matter basis </t>
    </r>
    <r>
      <rPr>
        <sz val="10"/>
        <rFont val="Arial"/>
        <family val="2"/>
      </rPr>
      <t>harvested (Breakeven)</t>
    </r>
  </si>
  <si>
    <t>Harvest Field Operations per Acre</t>
  </si>
  <si>
    <t>Total Harvest Operations per Acre</t>
  </si>
  <si>
    <t>Total per Acre Harvest Operations on per hour basis</t>
  </si>
  <si>
    <t>Total per Acre Harvest Operations per bale basis</t>
  </si>
  <si>
    <t>Total per Acre Harvest Operations per ton basis</t>
  </si>
  <si>
    <t>Total Preharvest Field Operations per Acre</t>
  </si>
  <si>
    <t>Total Grain Harvest Field Operations per Acre</t>
  </si>
  <si>
    <t>Dry matter Yield tons/acre</t>
  </si>
  <si>
    <t>Peach Cells are calculated values</t>
  </si>
  <si>
    <r>
      <t xml:space="preserve">Interest rate of operating loan per acre  </t>
    </r>
    <r>
      <rPr>
        <sz val="8"/>
        <rFont val="Arial"/>
        <family val="2"/>
      </rPr>
      <t xml:space="preserve"> </t>
    </r>
  </si>
  <si>
    <t>Net Return / Acre</t>
  </si>
  <si>
    <t xml:space="preserve">Total Expense / Acre </t>
  </si>
  <si>
    <t>Land Rent / Ownership Cost</t>
  </si>
  <si>
    <t>(annual cost / acre)</t>
  </si>
  <si>
    <t>Bu / acre</t>
  </si>
  <si>
    <t>$ / bu</t>
  </si>
  <si>
    <t>Total / acre</t>
  </si>
  <si>
    <t>lb / gal</t>
  </si>
  <si>
    <t>gal / acre</t>
  </si>
  <si>
    <t>$ / ton</t>
  </si>
  <si>
    <t>$ / acre</t>
  </si>
  <si>
    <t>lb product / acre</t>
  </si>
  <si>
    <t>lb N / acre</t>
  </si>
  <si>
    <t>$ / lb N</t>
  </si>
  <si>
    <t>Ag Lime</t>
  </si>
  <si>
    <t xml:space="preserve">Enter your primary nitrogen source price/lb of N </t>
  </si>
  <si>
    <t>Harvest moist. %</t>
  </si>
  <si>
    <t>Custom hired fertilizer applications</t>
  </si>
  <si>
    <t>Misc. Income (i.e. bedding, others )</t>
  </si>
  <si>
    <t>$ / hr</t>
  </si>
  <si>
    <t>hr / acre</t>
  </si>
  <si>
    <t>cost / bu / mo</t>
  </si>
  <si>
    <t>cost / point / bu</t>
  </si>
  <si>
    <t>$ / mile</t>
  </si>
  <si>
    <t>bu / load</t>
  </si>
  <si>
    <t>$ / pass</t>
  </si>
  <si>
    <t>Passes / acre</t>
  </si>
  <si>
    <t>$ / inch</t>
  </si>
  <si>
    <t>$ / 140k seed</t>
  </si>
  <si>
    <t>seeds / acre</t>
  </si>
  <si>
    <t>lb / acre</t>
  </si>
  <si>
    <t>$ / lb</t>
  </si>
  <si>
    <t>Yrs / pro-rate</t>
  </si>
  <si>
    <t>tons / acre</t>
  </si>
  <si>
    <r>
      <t>$ / lb K</t>
    </r>
    <r>
      <rPr>
        <b/>
        <vertAlign val="subscript"/>
        <sz val="10"/>
        <rFont val="Arial"/>
        <family val="2"/>
      </rPr>
      <t>2</t>
    </r>
    <r>
      <rPr>
        <b/>
        <sz val="10"/>
        <rFont val="Arial"/>
        <family val="2"/>
      </rPr>
      <t>O</t>
    </r>
  </si>
  <si>
    <r>
      <t>$ / lb P</t>
    </r>
    <r>
      <rPr>
        <b/>
        <vertAlign val="subscript"/>
        <sz val="10"/>
        <rFont val="Arial"/>
        <family val="2"/>
      </rPr>
      <t>2</t>
    </r>
    <r>
      <rPr>
        <b/>
        <sz val="10"/>
        <rFont val="Arial"/>
        <family val="2"/>
      </rPr>
      <t>O</t>
    </r>
    <r>
      <rPr>
        <b/>
        <vertAlign val="subscript"/>
        <sz val="10"/>
        <rFont val="Arial"/>
        <family val="2"/>
      </rPr>
      <t>5</t>
    </r>
  </si>
  <si>
    <t>Tons / acre as fed</t>
  </si>
  <si>
    <t>$ / hour</t>
  </si>
  <si>
    <t>Acres / hour</t>
  </si>
  <si>
    <t>Total Harvest Operations $ / acre</t>
  </si>
  <si>
    <t>Harvest Operations $ / acre</t>
  </si>
  <si>
    <t>Harvest Operations $ / hour</t>
  </si>
  <si>
    <t>Total Harvest Operations $ / hour</t>
  </si>
  <si>
    <t>Harvest Operations $ / ton</t>
  </si>
  <si>
    <t>Total Harvest Operations $ / ton</t>
  </si>
  <si>
    <t>tons / load</t>
  </si>
  <si>
    <t>tons / bag or cover</t>
  </si>
  <si>
    <t>$ / bag or cover</t>
  </si>
  <si>
    <t>$ / package</t>
  </si>
  <si>
    <t>tons / package</t>
  </si>
  <si>
    <t xml:space="preserve">N Stabilizer / Extender </t>
  </si>
  <si>
    <t>$ / 80k kernals</t>
  </si>
  <si>
    <t>$ / acre / yr</t>
  </si>
  <si>
    <t>acres / sample</t>
  </si>
  <si>
    <t>$ / sample</t>
  </si>
  <si>
    <r>
      <t>$ / lb of K</t>
    </r>
    <r>
      <rPr>
        <b/>
        <vertAlign val="subscript"/>
        <sz val="10"/>
        <rFont val="Arial"/>
        <family val="2"/>
      </rPr>
      <t>2</t>
    </r>
    <r>
      <rPr>
        <b/>
        <sz val="10"/>
        <rFont val="Arial"/>
        <family val="2"/>
      </rPr>
      <t>O</t>
    </r>
  </si>
  <si>
    <t>Price $ / ton</t>
  </si>
  <si>
    <r>
      <t>$ / lb of P</t>
    </r>
    <r>
      <rPr>
        <b/>
        <vertAlign val="subscript"/>
        <sz val="10"/>
        <rFont val="Arial"/>
        <family val="2"/>
      </rPr>
      <t>2</t>
    </r>
    <r>
      <rPr>
        <b/>
        <sz val="10"/>
        <rFont val="Arial"/>
        <family val="2"/>
      </rPr>
      <t>O</t>
    </r>
    <r>
      <rPr>
        <b/>
        <vertAlign val="subscript"/>
        <sz val="10"/>
        <rFont val="Arial"/>
        <family val="2"/>
      </rPr>
      <t>5</t>
    </r>
  </si>
  <si>
    <t>Trtmt Cost 
$ / acre</t>
  </si>
  <si>
    <t>lb nutrient / acre</t>
  </si>
  <si>
    <t>Trt cost 
$ / lb of fertilizer</t>
  </si>
  <si>
    <t>Trt rate oz / ton</t>
  </si>
  <si>
    <t>Cost $ / gal</t>
  </si>
  <si>
    <t>Trt cost $ / ac</t>
  </si>
  <si>
    <t>Trt rate oz / ac</t>
  </si>
  <si>
    <t>$ / lb of N</t>
  </si>
  <si>
    <t>Tons / acre</t>
  </si>
  <si>
    <t>bushels / acre</t>
  </si>
  <si>
    <t>bu / acre</t>
  </si>
  <si>
    <t>cost / ton / mo</t>
  </si>
  <si>
    <t>Bales / acre</t>
  </si>
  <si>
    <t>$ / bale</t>
  </si>
  <si>
    <t>ton / acre as fed</t>
  </si>
  <si>
    <t xml:space="preserve">Liquid Starter  </t>
  </si>
  <si>
    <t xml:space="preserve"> Nitrogen fertilizer  </t>
  </si>
  <si>
    <t xml:space="preserve">Nitrogen fertilizer  </t>
  </si>
  <si>
    <t>Harvest moist %</t>
  </si>
  <si>
    <t>Tons as fed / acre</t>
  </si>
  <si>
    <t>Tons / acre / yr</t>
  </si>
  <si>
    <t>Harvest Operations $ / bale</t>
  </si>
  <si>
    <t>Bales / acre / yr</t>
  </si>
  <si>
    <t>passes / acre / yr</t>
  </si>
  <si>
    <t>Passes / acre / yr</t>
  </si>
  <si>
    <t>lb seed / acre</t>
  </si>
  <si>
    <t>$ / 50 lb bag</t>
  </si>
  <si>
    <t xml:space="preserve">Corn Enterprise Budget </t>
  </si>
  <si>
    <t>Corn Silage Enterprise Budget</t>
  </si>
  <si>
    <t xml:space="preserve">Soybean Enterprise Budget </t>
  </si>
  <si>
    <t xml:space="preserve">Small Grains Enterprise Budget </t>
  </si>
  <si>
    <t xml:space="preserve">Seeding Year Haylage Enterprise </t>
  </si>
  <si>
    <t xml:space="preserve">UW Extension Crop Enterprise Budget Spreadsheet </t>
  </si>
  <si>
    <t>General Instructions</t>
  </si>
  <si>
    <t>$ / 80k kernels</t>
  </si>
  <si>
    <t>seed / acre</t>
  </si>
  <si>
    <t>SuperU</t>
  </si>
  <si>
    <t>Chopping/Hauling/Unloading</t>
  </si>
  <si>
    <t>No-Till Planter</t>
  </si>
  <si>
    <t>Seeding</t>
  </si>
  <si>
    <t xml:space="preserve">Established Haylage Enterprise </t>
  </si>
  <si>
    <t xml:space="preserve">Seeding Year Hay Enterprise </t>
  </si>
  <si>
    <t xml:space="preserve">Established Hay Enterprise </t>
  </si>
  <si>
    <t>Pricing calculators on a per pound of nutrient basis</t>
  </si>
  <si>
    <t>passes / acre</t>
  </si>
  <si>
    <t>Total Post Harvest Operations per Acre Including Hauling</t>
  </si>
  <si>
    <t>Iowa State Estimating Farm Machinery Costs</t>
  </si>
  <si>
    <t>https://www.extension.iastate.edu/agdm/crops/html/a3-29.html</t>
  </si>
  <si>
    <t>University of Illinois Farm Management Machinery Cost Operations Estimates</t>
  </si>
  <si>
    <t>Minnesota Farm Machinery Management</t>
  </si>
  <si>
    <t>https://wlazarus.cfans.umn.edu/william-f-lazarus-farm-machinery-management</t>
  </si>
  <si>
    <t>Wisconsin Custom Rate Guide</t>
  </si>
  <si>
    <t>https://cdn.shopify.com/s/files/1/0145/8808/4272/files/A2809.pdf</t>
  </si>
  <si>
    <t>A2809 Nutrient Application Guidelines for Field, Vegetable, and Fruit Crops in Wisconsin</t>
  </si>
  <si>
    <t xml:space="preserve">Annual Forage Crop </t>
  </si>
  <si>
    <t>Crop Description</t>
  </si>
  <si>
    <t>Italian Ryegrass</t>
  </si>
  <si>
    <t>Alfalfa</t>
  </si>
  <si>
    <t>Renovation/Rescue Seeding</t>
  </si>
  <si>
    <t>Mowing and Conditioning</t>
  </si>
  <si>
    <t>Windrow Merging</t>
  </si>
  <si>
    <t>Chopping, Hauling, and Filling</t>
  </si>
  <si>
    <t>Chopping, Hauling, Filling</t>
  </si>
  <si>
    <t>Raking</t>
  </si>
  <si>
    <t>Baling</t>
  </si>
  <si>
    <t>Bagger</t>
  </si>
  <si>
    <t>Packing Tractor</t>
  </si>
  <si>
    <t xml:space="preserve">Bale </t>
  </si>
  <si>
    <t>https://farmdoc.illinois.edu/management</t>
  </si>
  <si>
    <t>https://www.nass.usda.gov/Statistics_by_State/Wisconsin/Publications/WI-CRate20.pdf</t>
  </si>
  <si>
    <t>https://www.extension.iastate.edu/agdm/crops/xls/a3-29machcostcalc.xlsx</t>
  </si>
  <si>
    <t>Iowa Custom Rate Guide</t>
  </si>
  <si>
    <t>https://store.extension.iastate.edu/product/2022-Iowa-Farm-Custom-Rate-Survey</t>
  </si>
  <si>
    <t>Storage loss for hay by storage method</t>
  </si>
  <si>
    <t>Type of Storage</t>
  </si>
  <si>
    <t>Range of Dry Matter Loss</t>
  </si>
  <si>
    <t>Under roof</t>
  </si>
  <si>
    <t>2 to 10%</t>
  </si>
  <si>
    <t>Plastic wrap, on ground</t>
  </si>
  <si>
    <t>Bale sleeve, on ground</t>
  </si>
  <si>
    <t>Covered, rock pad or elevated</t>
  </si>
  <si>
    <t>Uncovered, rock pad or elevated</t>
  </si>
  <si>
    <t>Uncovered, on ground, net wrap</t>
  </si>
  <si>
    <t>Covered, on ground</t>
  </si>
  <si>
    <t>Uncovered, on ground</t>
  </si>
  <si>
    <t>4 to 7%</t>
  </si>
  <si>
    <t>4 to 8%</t>
  </si>
  <si>
    <t>2 to 17%</t>
  </si>
  <si>
    <t>3 to 46%</t>
  </si>
  <si>
    <t>6 to 25%</t>
  </si>
  <si>
    <t>4 to 46%</t>
  </si>
  <si>
    <t>5 to 61%</t>
  </si>
  <si>
    <t>Saxe, University of Wisconsin</t>
  </si>
  <si>
    <t>Bill Halfman</t>
  </si>
  <si>
    <t>Kevin Jarek</t>
  </si>
  <si>
    <t>Jerry Clark</t>
  </si>
  <si>
    <t>Carl Duley</t>
  </si>
  <si>
    <t>Dr. Carrie Laboski</t>
  </si>
  <si>
    <t>UW Crop Enterprise Budget Spreadsheet developed by:</t>
  </si>
  <si>
    <t xml:space="preserve">Release date: </t>
  </si>
  <si>
    <t>UW Extension Agriculture Agent- Monroe County</t>
  </si>
  <si>
    <t>UW Extension Agriculture Agent- Outagamie County</t>
  </si>
  <si>
    <t>UW Extension Agriculture Agent- Chippewa County</t>
  </si>
  <si>
    <t>UW Extension Agriculture Agent- Buffalo County</t>
  </si>
  <si>
    <t>former UW Extension Soils Specialist</t>
  </si>
  <si>
    <t>Reviewed by:</t>
  </si>
  <si>
    <t>Dr. Paul Mitchell</t>
  </si>
  <si>
    <t>UW Extension Ag Economist</t>
  </si>
  <si>
    <t>william.halfman@wisc.edu</t>
  </si>
  <si>
    <t>kevin.jarek@wisc.edu</t>
  </si>
  <si>
    <t>jerome.clark@wisc.edu</t>
  </si>
  <si>
    <t>carl.duley@wisc.edu</t>
  </si>
  <si>
    <t>pdmitchell@wisc.edu</t>
  </si>
  <si>
    <t>alfalfa grass 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</si>
</sst>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i/>
      <sz val="10"/>
      <name val="Arial"/>
      <family val="2"/>
    </font>
    <font>
      <b/>
      <sz val="10"/>
      <name val="Arial"/>
      <family val="2"/>
    </font>
    <font>
      <sz val="8"/>
      <name val="Arial"/>
      <family val="2"/>
    </font>
    <font>
      <i/>
      <sz val="10"/>
      <name val="Arial"/>
      <family val="2"/>
    </font>
    <font>
      <sz val="10"/>
      <name val="Arial"/>
      <family val="2"/>
    </font>
    <font>
      <b/>
      <sz val="14"/>
      <name val="Arial"/>
      <family val="2"/>
    </font>
    <font>
      <b/>
      <i/>
      <sz val="11"/>
      <name val="Arial"/>
      <family val="2"/>
    </font>
    <font>
      <b/>
      <sz val="11"/>
      <name val="Arial"/>
      <family val="2"/>
    </font>
    <font>
      <b/>
      <sz val="12"/>
      <color rgb="FF1F497D"/>
      <name val="Calibri"/>
      <family val="2"/>
    </font>
    <font>
      <sz val="11"/>
      <color rgb="FF1F497D"/>
      <name val="Calibri"/>
      <family val="2"/>
    </font>
    <font>
      <b/>
      <vertAlign val="subscript"/>
      <sz val="10"/>
      <name val="Arial"/>
      <family val="2"/>
    </font>
    <font>
      <i/>
      <sz val="9"/>
      <name val="Arial"/>
      <family val="2"/>
    </font>
    <font>
      <i/>
      <u/>
      <sz val="10"/>
      <name val="Arial"/>
      <family val="2"/>
    </font>
    <font>
      <sz val="11"/>
      <color rgb="FF000000"/>
      <name val="Arial"/>
      <family val="2"/>
    </font>
    <font>
      <sz val="9"/>
      <color rgb="FF000000"/>
      <name val="Calibri Light"/>
      <family val="2"/>
    </font>
    <font>
      <i/>
      <sz val="9"/>
      <color rgb="FF000000"/>
      <name val="Calibri Light"/>
      <family val="2"/>
    </font>
    <font>
      <sz val="14"/>
      <name val="Arial"/>
      <family val="2"/>
    </font>
    <font>
      <sz val="10"/>
      <name val="Arial"/>
    </font>
    <font>
      <b/>
      <sz val="10"/>
      <color theme="0"/>
      <name val="Arial"/>
      <family val="2"/>
    </font>
    <font>
      <sz val="11"/>
      <name val="Calibri"/>
      <family val="2"/>
      <scheme val="minor"/>
    </font>
    <font>
      <sz val="10"/>
      <color theme="0"/>
      <name val="Arial"/>
      <family val="2"/>
    </font>
    <font>
      <sz val="11"/>
      <color rgb="FF000000"/>
      <name val="Calibri"/>
      <family val="2"/>
    </font>
    <font>
      <b/>
      <u/>
      <sz val="11"/>
      <color theme="1"/>
      <name val="Calibri"/>
      <family val="2"/>
      <scheme val="minor"/>
    </font>
    <font>
      <b/>
      <i/>
      <sz val="11"/>
      <color theme="1"/>
      <name val="Calibri"/>
      <family val="2"/>
      <scheme val="minor"/>
    </font>
    <font>
      <sz val="10"/>
      <color theme="1"/>
      <name val="Calibri"/>
      <family val="2"/>
      <scheme val="minor"/>
    </font>
    <font>
      <b/>
      <sz val="16"/>
      <color theme="1"/>
      <name val="Calibri"/>
      <family val="2"/>
    </font>
    <font>
      <sz val="11"/>
      <name val="Calibri"/>
      <family val="2"/>
    </font>
    <font>
      <u/>
      <sz val="11"/>
      <color theme="1"/>
      <name val="Calibri"/>
      <family val="2"/>
      <scheme val="minor"/>
    </font>
    <font>
      <sz val="10"/>
      <color rgb="FF000000"/>
      <name val="Arial"/>
      <family val="2"/>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0F090"/>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23" fillId="0" borderId="0" applyFont="0" applyFill="0" applyBorder="0" applyAlignment="0" applyProtection="0"/>
  </cellStyleXfs>
  <cellXfs count="605">
    <xf numFmtId="0" fontId="0" fillId="0" borderId="0" xfId="0"/>
    <xf numFmtId="0" fontId="0" fillId="0" borderId="0" xfId="0" applyBorder="1"/>
    <xf numFmtId="0" fontId="0" fillId="0" borderId="0" xfId="0" applyProtection="1"/>
    <xf numFmtId="0" fontId="0" fillId="0" borderId="0" xfId="0" applyFill="1" applyBorder="1" applyProtection="1">
      <protection locked="0"/>
    </xf>
    <xf numFmtId="0" fontId="11" fillId="0" borderId="0" xfId="0" applyFont="1" applyProtection="1"/>
    <xf numFmtId="2" fontId="0" fillId="0" borderId="0" xfId="0" applyNumberForma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2" fontId="0" fillId="0" borderId="0" xfId="0" applyNumberFormat="1" applyAlignment="1" applyProtection="1">
      <alignment horizontal="center"/>
    </xf>
    <xf numFmtId="0" fontId="0" fillId="0" borderId="0" xfId="0" applyAlignment="1" applyProtection="1">
      <alignment horizontal="right"/>
    </xf>
    <xf numFmtId="2" fontId="0" fillId="0" borderId="0" xfId="0" applyNumberFormat="1" applyFill="1" applyBorder="1" applyProtection="1"/>
    <xf numFmtId="0" fontId="0" fillId="0" borderId="0" xfId="0" applyBorder="1" applyAlignment="1" applyProtection="1">
      <alignment horizontal="center"/>
    </xf>
    <xf numFmtId="0" fontId="7" fillId="0" borderId="0" xfId="0" applyFont="1" applyBorder="1" applyAlignment="1" applyProtection="1">
      <alignment horizontal="center"/>
    </xf>
    <xf numFmtId="0" fontId="0" fillId="0" borderId="0" xfId="0" applyFill="1" applyBorder="1" applyProtection="1"/>
    <xf numFmtId="0" fontId="0" fillId="0" borderId="0" xfId="0" applyFill="1" applyBorder="1" applyAlignment="1" applyProtection="1">
      <alignment horizontal="right"/>
    </xf>
    <xf numFmtId="2" fontId="7" fillId="0" borderId="0" xfId="0" applyNumberFormat="1" applyFont="1" applyFill="1" applyBorder="1" applyAlignment="1" applyProtection="1">
      <alignment horizontal="right"/>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right"/>
    </xf>
    <xf numFmtId="0" fontId="7" fillId="0" borderId="0" xfId="0" applyFont="1" applyFill="1" applyBorder="1" applyAlignment="1" applyProtection="1">
      <alignment horizontal="left"/>
    </xf>
    <xf numFmtId="1" fontId="0" fillId="0" borderId="0" xfId="0" applyNumberFormat="1" applyProtection="1"/>
    <xf numFmtId="0" fontId="0" fillId="0" borderId="0" xfId="0" applyFill="1" applyBorder="1" applyAlignment="1" applyProtection="1">
      <alignment horizontal="center"/>
    </xf>
    <xf numFmtId="0" fontId="9" fillId="0" borderId="0" xfId="0" applyFont="1" applyProtection="1"/>
    <xf numFmtId="2" fontId="7"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0" fontId="7" fillId="0" borderId="0" xfId="0" applyFont="1" applyAlignment="1" applyProtection="1">
      <alignment horizontal="right"/>
    </xf>
    <xf numFmtId="0" fontId="7" fillId="0" borderId="0" xfId="0" applyFont="1" applyBorder="1" applyProtection="1"/>
    <xf numFmtId="0" fontId="9" fillId="0" borderId="0" xfId="0" applyFont="1" applyBorder="1" applyAlignment="1" applyProtection="1">
      <alignment horizontal="left"/>
    </xf>
    <xf numFmtId="0" fontId="0" fillId="0" borderId="0" xfId="0" applyBorder="1" applyAlignment="1" applyProtection="1">
      <alignment horizontal="right"/>
    </xf>
    <xf numFmtId="0" fontId="13" fillId="0" borderId="0" xfId="0" applyFont="1" applyProtection="1"/>
    <xf numFmtId="0" fontId="4" fillId="0" borderId="0" xfId="0" applyFont="1"/>
    <xf numFmtId="2" fontId="0" fillId="0" borderId="0" xfId="0" applyNumberFormat="1" applyBorder="1" applyProtection="1"/>
    <xf numFmtId="0" fontId="0" fillId="0" borderId="0" xfId="0" applyBorder="1" applyAlignment="1" applyProtection="1">
      <alignment horizontal="left"/>
    </xf>
    <xf numFmtId="0" fontId="0" fillId="0" borderId="0" xfId="0" applyAlignment="1">
      <alignment horizontal="center"/>
    </xf>
    <xf numFmtId="0" fontId="12" fillId="0" borderId="0" xfId="0" applyFont="1" applyBorder="1" applyProtection="1"/>
    <xf numFmtId="0" fontId="0" fillId="2" borderId="1" xfId="0" applyFill="1" applyBorder="1" applyAlignment="1" applyProtection="1">
      <alignment horizontal="center"/>
    </xf>
    <xf numFmtId="0" fontId="0" fillId="3" borderId="1" xfId="0" applyFill="1" applyBorder="1" applyProtection="1"/>
    <xf numFmtId="0" fontId="0" fillId="3" borderId="1" xfId="0" applyFill="1" applyBorder="1"/>
    <xf numFmtId="0" fontId="0" fillId="2" borderId="1" xfId="0" applyFill="1" applyBorder="1" applyAlignment="1">
      <alignment horizontal="center"/>
    </xf>
    <xf numFmtId="0" fontId="0" fillId="2" borderId="1" xfId="0" quotePrefix="1" applyFill="1" applyBorder="1" applyAlignment="1" applyProtection="1">
      <alignment horizontal="center"/>
    </xf>
    <xf numFmtId="1" fontId="0" fillId="2" borderId="2" xfId="0" applyNumberFormat="1" applyFill="1" applyBorder="1" applyAlignment="1" applyProtection="1">
      <alignment horizontal="center"/>
    </xf>
    <xf numFmtId="1" fontId="0" fillId="3" borderId="1" xfId="0" applyNumberFormat="1" applyFill="1" applyBorder="1" applyAlignment="1" applyProtection="1">
      <alignment horizontal="center"/>
    </xf>
    <xf numFmtId="1" fontId="0" fillId="3" borderId="1" xfId="0" applyNumberFormat="1" applyFill="1" applyBorder="1" applyAlignment="1">
      <alignment horizontal="center"/>
    </xf>
    <xf numFmtId="0" fontId="0" fillId="0" borderId="0" xfId="0" applyFill="1" applyBorder="1"/>
    <xf numFmtId="1" fontId="7" fillId="3" borderId="1" xfId="0" applyNumberFormat="1" applyFont="1" applyFill="1" applyBorder="1" applyAlignment="1" applyProtection="1">
      <alignment horizontal="center"/>
    </xf>
    <xf numFmtId="0" fontId="7" fillId="0" borderId="0" xfId="0" applyFont="1" applyProtection="1"/>
    <xf numFmtId="0" fontId="14" fillId="0" borderId="0" xfId="0" applyFont="1" applyAlignment="1">
      <alignment vertical="center" wrapText="1"/>
    </xf>
    <xf numFmtId="0" fontId="15" fillId="0" borderId="0" xfId="0" applyFont="1" applyAlignment="1">
      <alignment vertical="center" wrapText="1"/>
    </xf>
    <xf numFmtId="0" fontId="5" fillId="0" borderId="0" xfId="1" applyAlignment="1" applyProtection="1">
      <alignment vertical="center" wrapText="1"/>
    </xf>
    <xf numFmtId="0" fontId="0" fillId="0" borderId="0" xfId="0" applyAlignment="1">
      <alignment wrapText="1"/>
    </xf>
    <xf numFmtId="0" fontId="10" fillId="0" borderId="0" xfId="0" applyFont="1" applyFill="1" applyBorder="1" applyAlignment="1" applyProtection="1">
      <alignment horizontal="left"/>
    </xf>
    <xf numFmtId="0" fontId="10" fillId="0" borderId="0" xfId="0" applyFont="1" applyProtection="1"/>
    <xf numFmtId="0" fontId="10" fillId="0" borderId="0" xfId="0" applyFont="1" applyBorder="1" applyAlignment="1" applyProtection="1">
      <alignment horizontal="right" vertical="center"/>
    </xf>
    <xf numFmtId="0" fontId="4" fillId="0" borderId="0" xfId="0" applyFont="1" applyFill="1" applyBorder="1" applyAlignment="1" applyProtection="1">
      <alignment horizontal="left"/>
    </xf>
    <xf numFmtId="0" fontId="4" fillId="0" borderId="0" xfId="0" applyFont="1" applyAlignment="1">
      <alignment horizontal="left"/>
    </xf>
    <xf numFmtId="14" fontId="10" fillId="0" borderId="0" xfId="0" quotePrefix="1" applyNumberFormat="1" applyFont="1" applyProtection="1"/>
    <xf numFmtId="0" fontId="15" fillId="0" borderId="0" xfId="0" applyFont="1" applyAlignment="1">
      <alignment vertical="center"/>
    </xf>
    <xf numFmtId="0" fontId="0" fillId="0" borderId="0" xfId="0" applyFill="1"/>
    <xf numFmtId="0" fontId="5" fillId="0" borderId="0" xfId="1" applyAlignment="1" applyProtection="1"/>
    <xf numFmtId="0" fontId="0" fillId="0" borderId="0" xfId="0" applyFill="1" applyProtection="1"/>
    <xf numFmtId="2" fontId="4" fillId="0" borderId="0" xfId="0" applyNumberFormat="1" applyFont="1" applyFill="1" applyBorder="1" applyAlignment="1" applyProtection="1">
      <alignment horizontal="center"/>
    </xf>
    <xf numFmtId="0" fontId="17" fillId="0" borderId="0" xfId="0" applyFont="1" applyProtection="1"/>
    <xf numFmtId="0" fontId="4" fillId="0" borderId="0" xfId="0" applyFont="1" applyBorder="1" applyAlignment="1" applyProtection="1">
      <alignment horizontal="right" vertical="center"/>
    </xf>
    <xf numFmtId="0" fontId="4" fillId="0" borderId="0" xfId="0" applyFont="1" applyFill="1" applyProtection="1"/>
    <xf numFmtId="0" fontId="4" fillId="0" borderId="0" xfId="0" applyFont="1" applyAlignment="1" applyProtection="1">
      <alignment horizontal="center"/>
    </xf>
    <xf numFmtId="0" fontId="5" fillId="0" borderId="0" xfId="1" applyAlignment="1" applyProtection="1">
      <alignment wrapText="1"/>
    </xf>
    <xf numFmtId="1" fontId="0" fillId="0" borderId="0" xfId="0" applyNumberFormat="1" applyFill="1" applyBorder="1" applyAlignment="1" applyProtection="1">
      <alignment horizontal="center"/>
      <protection locked="0"/>
    </xf>
    <xf numFmtId="2" fontId="0" fillId="0" borderId="0" xfId="0" applyNumberFormat="1" applyFill="1" applyBorder="1" applyAlignment="1" applyProtection="1">
      <alignment horizontal="right"/>
      <protection locked="0"/>
    </xf>
    <xf numFmtId="0" fontId="4" fillId="0" borderId="0" xfId="0" applyFont="1" applyProtection="1"/>
    <xf numFmtId="0" fontId="0" fillId="0" borderId="0" xfId="0" applyFont="1" applyFill="1" applyBorder="1" applyAlignment="1" applyProtection="1">
      <alignment horizontal="center"/>
    </xf>
    <xf numFmtId="1" fontId="4" fillId="0" borderId="0" xfId="0" applyNumberFormat="1" applyFont="1" applyFill="1" applyBorder="1" applyAlignment="1" applyProtection="1">
      <alignment horizontal="center"/>
      <protection locked="0"/>
    </xf>
    <xf numFmtId="0" fontId="0" fillId="0" borderId="0" xfId="0" quotePrefix="1" applyFill="1" applyBorder="1" applyAlignment="1" applyProtection="1">
      <alignment horizontal="center"/>
    </xf>
    <xf numFmtId="0" fontId="0" fillId="0" borderId="0" xfId="0" quotePrefix="1" applyFill="1" applyBorder="1" applyAlignment="1">
      <alignment horizontal="center"/>
    </xf>
    <xf numFmtId="0" fontId="7" fillId="0" borderId="0" xfId="0" applyFont="1"/>
    <xf numFmtId="0" fontId="4" fillId="0" borderId="0" xfId="0" applyFont="1" applyFill="1"/>
    <xf numFmtId="2" fontId="0" fillId="0" borderId="0" xfId="0" applyNumberFormat="1" applyFill="1" applyBorder="1" applyAlignment="1" applyProtection="1">
      <alignment horizontal="right" vertical="center"/>
    </xf>
    <xf numFmtId="1" fontId="0" fillId="0" borderId="0" xfId="0" applyNumberFormat="1" applyFill="1" applyBorder="1" applyAlignment="1" applyProtection="1">
      <alignment horizontal="center" vertical="center"/>
      <protection locked="0"/>
    </xf>
    <xf numFmtId="0" fontId="4" fillId="0" borderId="0" xfId="0" applyFont="1" applyBorder="1" applyAlignment="1" applyProtection="1">
      <alignment horizontal="right"/>
    </xf>
    <xf numFmtId="0" fontId="4" fillId="0" borderId="0" xfId="0" applyFont="1" applyAlignment="1" applyProtection="1">
      <alignment horizontal="right"/>
    </xf>
    <xf numFmtId="0" fontId="4" fillId="0" borderId="0" xfId="0" applyFont="1" applyAlignment="1">
      <alignment horizontal="center"/>
    </xf>
    <xf numFmtId="0" fontId="4" fillId="0" borderId="0" xfId="0" applyFont="1" applyBorder="1" applyAlignment="1" applyProtection="1">
      <alignment horizontal="left"/>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4" fillId="0" borderId="1" xfId="0" applyFont="1" applyBorder="1" applyAlignment="1">
      <alignment horizontal="right"/>
    </xf>
    <xf numFmtId="2" fontId="0" fillId="0" borderId="0" xfId="0" applyNumberFormat="1" applyFill="1" applyBorder="1" applyAlignment="1" applyProtection="1">
      <alignment horizontal="center"/>
      <protection locked="0"/>
    </xf>
    <xf numFmtId="2" fontId="7" fillId="0" borderId="0" xfId="0" applyNumberFormat="1" applyFont="1" applyFill="1" applyBorder="1" applyAlignment="1" applyProtection="1">
      <alignment horizontal="center"/>
    </xf>
    <xf numFmtId="2" fontId="7" fillId="0" borderId="0" xfId="0" applyNumberFormat="1" applyFont="1" applyFill="1" applyBorder="1" applyAlignment="1" applyProtection="1">
      <alignment horizontal="right" vertical="center"/>
    </xf>
    <xf numFmtId="0" fontId="0" fillId="0" borderId="0" xfId="0" applyFont="1" applyProtection="1"/>
    <xf numFmtId="0" fontId="4" fillId="0" borderId="0" xfId="0" applyFont="1" applyBorder="1" applyAlignment="1" applyProtection="1">
      <alignment horizontal="center"/>
    </xf>
    <xf numFmtId="0" fontId="4" fillId="0" borderId="0" xfId="0" applyFont="1" applyFill="1" applyBorder="1" applyAlignment="1" applyProtection="1">
      <alignment horizontal="right"/>
    </xf>
    <xf numFmtId="1" fontId="0" fillId="0" borderId="0" xfId="0" applyNumberFormat="1" applyFill="1" applyBorder="1" applyAlignment="1" applyProtection="1">
      <alignment horizontal="right"/>
      <protection locked="0"/>
    </xf>
    <xf numFmtId="0" fontId="7" fillId="0" borderId="0" xfId="0" applyFont="1" applyAlignment="1">
      <alignment horizontal="center"/>
    </xf>
    <xf numFmtId="166" fontId="0" fillId="0" borderId="0" xfId="0" applyNumberFormat="1" applyFill="1" applyBorder="1" applyProtection="1"/>
    <xf numFmtId="166" fontId="0" fillId="0" borderId="1" xfId="0" applyNumberFormat="1" applyBorder="1"/>
    <xf numFmtId="9" fontId="0" fillId="0" borderId="1" xfId="0" applyNumberFormat="1" applyBorder="1" applyAlignment="1" applyProtection="1">
      <alignment horizontal="right"/>
    </xf>
    <xf numFmtId="166" fontId="0" fillId="0" borderId="1" xfId="0" applyNumberFormat="1" applyFill="1" applyBorder="1" applyProtection="1"/>
    <xf numFmtId="9" fontId="0" fillId="0" borderId="1" xfId="0" applyNumberFormat="1" applyBorder="1" applyAlignment="1">
      <alignment horizontal="right"/>
    </xf>
    <xf numFmtId="166" fontId="0" fillId="0" borderId="1" xfId="0" applyNumberFormat="1" applyBorder="1" applyProtection="1"/>
    <xf numFmtId="0" fontId="7" fillId="0" borderId="0" xfId="0" applyFont="1" applyFill="1" applyBorder="1" applyAlignment="1">
      <alignment horizontal="center"/>
    </xf>
    <xf numFmtId="0" fontId="7" fillId="0" borderId="0" xfId="0" applyFont="1" applyFill="1" applyBorder="1" applyAlignment="1" applyProtection="1">
      <alignment horizontal="center"/>
    </xf>
    <xf numFmtId="0" fontId="7" fillId="0" borderId="0" xfId="0" applyFont="1" applyFill="1" applyBorder="1" applyProtection="1"/>
    <xf numFmtId="0" fontId="0" fillId="4" borderId="1" xfId="0" applyFill="1" applyBorder="1" applyProtection="1">
      <protection locked="0"/>
    </xf>
    <xf numFmtId="0" fontId="4" fillId="0" borderId="1" xfId="0" applyFont="1" applyFill="1" applyBorder="1" applyAlignment="1" applyProtection="1">
      <alignment horizontal="right"/>
    </xf>
    <xf numFmtId="9" fontId="7" fillId="0" borderId="0" xfId="0" applyNumberFormat="1" applyFont="1" applyFill="1" applyBorder="1" applyAlignment="1" applyProtection="1">
      <alignment horizontal="center"/>
    </xf>
    <xf numFmtId="4" fontId="0" fillId="4" borderId="1" xfId="0" applyNumberFormat="1" applyFill="1" applyBorder="1" applyProtection="1">
      <protection locked="0"/>
    </xf>
    <xf numFmtId="166" fontId="0" fillId="0" borderId="1" xfId="0" applyNumberFormat="1" applyFill="1" applyBorder="1" applyProtection="1">
      <protection locked="0"/>
    </xf>
    <xf numFmtId="4" fontId="0" fillId="0" borderId="0" xfId="0" applyNumberFormat="1" applyFill="1" applyBorder="1" applyProtection="1"/>
    <xf numFmtId="1" fontId="0" fillId="0" borderId="0" xfId="0" applyNumberFormat="1" applyFill="1" applyBorder="1" applyProtection="1"/>
    <xf numFmtId="0" fontId="7" fillId="0" borderId="0" xfId="0" applyFont="1" applyFill="1" applyBorder="1"/>
    <xf numFmtId="0" fontId="6" fillId="0" borderId="0" xfId="0" applyFont="1" applyFill="1" applyBorder="1" applyAlignment="1" applyProtection="1">
      <alignment horizontal="left"/>
    </xf>
    <xf numFmtId="166" fontId="0" fillId="0" borderId="1" xfId="0" applyNumberFormat="1" applyFill="1" applyBorder="1" applyAlignment="1" applyProtection="1">
      <alignment horizontal="right"/>
      <protection locked="0"/>
    </xf>
    <xf numFmtId="2" fontId="0" fillId="4" borderId="1" xfId="0" applyNumberFormat="1" applyFill="1" applyBorder="1" applyAlignment="1" applyProtection="1">
      <alignment horizontal="center"/>
    </xf>
    <xf numFmtId="1" fontId="0" fillId="4" borderId="1" xfId="0" applyNumberFormat="1" applyFill="1" applyBorder="1" applyAlignment="1" applyProtection="1">
      <alignment horizontal="center"/>
      <protection locked="0"/>
    </xf>
    <xf numFmtId="165" fontId="0" fillId="4" borderId="1" xfId="0" applyNumberFormat="1" applyFill="1" applyBorder="1" applyProtection="1">
      <protection locked="0"/>
    </xf>
    <xf numFmtId="0" fontId="7" fillId="0" borderId="0" xfId="0" applyFont="1" applyFill="1" applyBorder="1" applyAlignment="1" applyProtection="1">
      <alignment horizontal="center" wrapText="1"/>
    </xf>
    <xf numFmtId="2" fontId="0" fillId="4" borderId="2" xfId="0" applyNumberFormat="1" applyFill="1" applyBorder="1" applyAlignment="1" applyProtection="1">
      <alignment horizontal="right"/>
      <protection locked="0"/>
    </xf>
    <xf numFmtId="0" fontId="4" fillId="0" borderId="0" xfId="0" applyFont="1" applyFill="1" applyBorder="1" applyAlignment="1">
      <alignment horizontal="right"/>
    </xf>
    <xf numFmtId="0" fontId="6" fillId="0" borderId="0" xfId="0" applyFont="1" applyFill="1" applyBorder="1" applyProtection="1"/>
    <xf numFmtId="0" fontId="7" fillId="0" borderId="0" xfId="0" applyFont="1" applyFill="1" applyBorder="1" applyAlignment="1" applyProtection="1">
      <alignment horizontal="right"/>
    </xf>
    <xf numFmtId="9" fontId="7" fillId="0" borderId="0" xfId="0" applyNumberFormat="1" applyFont="1" applyFill="1" applyBorder="1" applyProtection="1"/>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1" fontId="0" fillId="4" borderId="11" xfId="0" applyNumberFormat="1" applyFill="1" applyBorder="1" applyAlignment="1" applyProtection="1">
      <alignment horizontal="center"/>
      <protection locked="0"/>
    </xf>
    <xf numFmtId="1" fontId="0" fillId="4" borderId="1" xfId="0" applyNumberFormat="1" applyFill="1" applyBorder="1" applyAlignment="1" applyProtection="1">
      <alignment horizontal="center" vertical="center"/>
      <protection locked="0"/>
    </xf>
    <xf numFmtId="2" fontId="0" fillId="5" borderId="1" xfId="0" applyNumberFormat="1" applyFill="1" applyBorder="1" applyAlignment="1" applyProtection="1">
      <alignment horizontal="center"/>
    </xf>
    <xf numFmtId="0" fontId="18" fillId="0" borderId="0" xfId="0" applyFont="1" applyFill="1"/>
    <xf numFmtId="0" fontId="4" fillId="0" borderId="0" xfId="0" applyFont="1" applyFill="1" applyAlignment="1">
      <alignment horizontal="left"/>
    </xf>
    <xf numFmtId="0" fontId="10" fillId="0" borderId="0" xfId="0" applyFont="1" applyFill="1" applyProtection="1"/>
    <xf numFmtId="0" fontId="0" fillId="0" borderId="1" xfId="0" applyBorder="1" applyAlignment="1" applyProtection="1">
      <alignment horizontal="center"/>
    </xf>
    <xf numFmtId="0" fontId="4" fillId="0" borderId="1" xfId="0" applyFont="1" applyFill="1" applyBorder="1" applyProtection="1"/>
    <xf numFmtId="2" fontId="4" fillId="0" borderId="0" xfId="0" applyNumberFormat="1" applyFont="1" applyFill="1" applyBorder="1" applyAlignment="1" applyProtection="1">
      <alignment horizontal="right"/>
    </xf>
    <xf numFmtId="2" fontId="0" fillId="0" borderId="0" xfId="0" applyNumberFormat="1" applyBorder="1" applyAlignment="1" applyProtection="1">
      <alignment horizontal="center"/>
    </xf>
    <xf numFmtId="165" fontId="4" fillId="0" borderId="0" xfId="0" applyNumberFormat="1" applyFont="1" applyFill="1" applyBorder="1" applyProtection="1">
      <protection locked="0"/>
    </xf>
    <xf numFmtId="0" fontId="0" fillId="0" borderId="1" xfId="0" applyBorder="1"/>
    <xf numFmtId="0" fontId="4" fillId="0" borderId="0" xfId="0" applyFont="1" applyFill="1" applyBorder="1"/>
    <xf numFmtId="0" fontId="4" fillId="5" borderId="2" xfId="0" applyFont="1" applyFill="1" applyBorder="1"/>
    <xf numFmtId="0" fontId="0" fillId="5" borderId="8" xfId="0" applyFill="1" applyBorder="1"/>
    <xf numFmtId="0" fontId="0" fillId="5" borderId="10" xfId="0" applyFill="1" applyBorder="1"/>
    <xf numFmtId="44" fontId="0" fillId="4" borderId="9" xfId="0" applyNumberFormat="1" applyFill="1" applyBorder="1" applyAlignment="1" applyProtection="1">
      <alignment horizontal="right"/>
      <protection locked="0"/>
    </xf>
    <xf numFmtId="44" fontId="0" fillId="4" borderId="1" xfId="0" applyNumberFormat="1" applyFill="1" applyBorder="1" applyAlignment="1" applyProtection="1">
      <alignment horizontal="right"/>
      <protection locked="0"/>
    </xf>
    <xf numFmtId="44" fontId="0" fillId="4" borderId="2" xfId="0" applyNumberFormat="1" applyFill="1" applyBorder="1" applyAlignment="1" applyProtection="1">
      <alignment horizontal="right"/>
      <protection locked="0"/>
    </xf>
    <xf numFmtId="0" fontId="4" fillId="0" borderId="0" xfId="0" applyFont="1" applyBorder="1" applyAlignment="1" applyProtection="1">
      <alignment horizontal="left"/>
    </xf>
    <xf numFmtId="0" fontId="4" fillId="0" borderId="0" xfId="0" applyFont="1" applyBorder="1" applyAlignment="1" applyProtection="1">
      <alignment horizontal="left"/>
    </xf>
    <xf numFmtId="0" fontId="0" fillId="6" borderId="0" xfId="0" applyFill="1"/>
    <xf numFmtId="44" fontId="0" fillId="0" borderId="0" xfId="0" applyNumberFormat="1" applyFill="1" applyBorder="1" applyAlignment="1" applyProtection="1">
      <alignment horizontal="right"/>
    </xf>
    <xf numFmtId="0" fontId="0" fillId="6" borderId="0" xfId="0" applyFill="1" applyProtection="1"/>
    <xf numFmtId="14" fontId="4" fillId="0" borderId="0" xfId="0" applyNumberFormat="1" applyFont="1" applyFill="1" applyBorder="1" applyAlignment="1" applyProtection="1">
      <alignment horizontal="right"/>
    </xf>
    <xf numFmtId="0" fontId="0" fillId="0" borderId="0" xfId="0" applyFill="1" applyAlignment="1" applyProtection="1">
      <alignment horizontal="center"/>
    </xf>
    <xf numFmtId="0" fontId="9" fillId="7" borderId="0" xfId="0" applyFont="1" applyFill="1" applyBorder="1" applyAlignment="1" applyProtection="1">
      <alignment horizontal="left" vertical="center"/>
    </xf>
    <xf numFmtId="0" fontId="0" fillId="7" borderId="0" xfId="0" applyFill="1" applyBorder="1" applyAlignment="1" applyProtection="1">
      <alignment horizontal="center"/>
    </xf>
    <xf numFmtId="0" fontId="0" fillId="7" borderId="0" xfId="0" applyFill="1" applyProtection="1"/>
    <xf numFmtId="0" fontId="9" fillId="7" borderId="0" xfId="0" applyFont="1" applyFill="1" applyBorder="1" applyAlignment="1" applyProtection="1">
      <alignment horizontal="left"/>
    </xf>
    <xf numFmtId="0" fontId="17" fillId="7" borderId="0" xfId="0" applyFont="1" applyFill="1" applyAlignment="1" applyProtection="1">
      <alignment horizontal="left"/>
    </xf>
    <xf numFmtId="2" fontId="0" fillId="7" borderId="0" xfId="0" applyNumberFormat="1" applyFill="1" applyAlignment="1" applyProtection="1">
      <alignment horizontal="center"/>
    </xf>
    <xf numFmtId="0" fontId="9" fillId="0" borderId="0" xfId="0" applyFont="1" applyBorder="1" applyAlignment="1" applyProtection="1">
      <alignment horizontal="center"/>
    </xf>
    <xf numFmtId="44" fontId="0" fillId="0" borderId="1" xfId="0" applyNumberFormat="1" applyFill="1" applyBorder="1" applyAlignment="1" applyProtection="1">
      <alignment horizontal="right"/>
    </xf>
    <xf numFmtId="0" fontId="0" fillId="6" borderId="0" xfId="0" applyFill="1" applyAlignment="1" applyProtection="1">
      <alignment horizontal="right"/>
    </xf>
    <xf numFmtId="3" fontId="0" fillId="6" borderId="0" xfId="0" applyNumberFormat="1" applyFill="1" applyBorder="1" applyAlignment="1" applyProtection="1">
      <alignment horizontal="center"/>
      <protection locked="0"/>
    </xf>
    <xf numFmtId="2" fontId="0" fillId="6" borderId="0" xfId="0" applyNumberFormat="1" applyFill="1" applyAlignment="1" applyProtection="1">
      <alignment horizontal="center"/>
    </xf>
    <xf numFmtId="0" fontId="4" fillId="6" borderId="0" xfId="0" applyFont="1" applyFill="1" applyAlignment="1" applyProtection="1">
      <alignment horizontal="center"/>
    </xf>
    <xf numFmtId="1" fontId="0" fillId="6" borderId="0" xfId="0" applyNumberFormat="1" applyFill="1" applyBorder="1" applyAlignment="1" applyProtection="1">
      <alignment horizontal="center"/>
      <protection locked="0"/>
    </xf>
    <xf numFmtId="2" fontId="0" fillId="6" borderId="0" xfId="0" applyNumberFormat="1" applyFill="1" applyBorder="1" applyAlignment="1" applyProtection="1">
      <alignment horizontal="right"/>
      <protection locked="0"/>
    </xf>
    <xf numFmtId="2" fontId="0" fillId="6" borderId="0" xfId="0" applyNumberFormat="1" applyFill="1" applyBorder="1" applyAlignment="1" applyProtection="1">
      <alignment horizontal="right"/>
    </xf>
    <xf numFmtId="0" fontId="24" fillId="6" borderId="0" xfId="0" applyFont="1" applyFill="1" applyBorder="1" applyAlignment="1" applyProtection="1">
      <alignment horizontal="left"/>
    </xf>
    <xf numFmtId="0" fontId="6" fillId="0" borderId="0" xfId="0" applyFont="1" applyBorder="1" applyAlignment="1" applyProtection="1">
      <alignment horizontal="left"/>
    </xf>
    <xf numFmtId="0" fontId="24" fillId="6" borderId="0" xfId="0" applyFont="1" applyFill="1" applyBorder="1" applyProtection="1"/>
    <xf numFmtId="0" fontId="0" fillId="6" borderId="0" xfId="0" applyFill="1" applyAlignment="1" applyProtection="1">
      <alignment horizontal="center"/>
    </xf>
    <xf numFmtId="0" fontId="24" fillId="6" borderId="0" xfId="0" applyFont="1" applyFill="1"/>
    <xf numFmtId="44" fontId="0" fillId="0" borderId="0" xfId="0" applyNumberFormat="1" applyFill="1" applyBorder="1" applyAlignment="1">
      <alignment horizontal="right"/>
    </xf>
    <xf numFmtId="0" fontId="0" fillId="7" borderId="0" xfId="0" applyFill="1"/>
    <xf numFmtId="0" fontId="7" fillId="7" borderId="0" xfId="0" applyFont="1" applyFill="1" applyBorder="1" applyAlignment="1" applyProtection="1">
      <alignment horizontal="left"/>
    </xf>
    <xf numFmtId="2" fontId="0" fillId="7" borderId="0" xfId="0" applyNumberFormat="1" applyFill="1" applyBorder="1" applyProtection="1"/>
    <xf numFmtId="0" fontId="0" fillId="7" borderId="0" xfId="0" applyFill="1" applyBorder="1" applyProtection="1"/>
    <xf numFmtId="0" fontId="7" fillId="7" borderId="0" xfId="0" applyFont="1" applyFill="1" applyBorder="1" applyProtection="1"/>
    <xf numFmtId="2" fontId="7" fillId="7" borderId="0" xfId="0" applyNumberFormat="1" applyFont="1" applyFill="1" applyBorder="1" applyProtection="1"/>
    <xf numFmtId="0" fontId="0" fillId="6" borderId="7" xfId="0" applyFill="1" applyBorder="1" applyProtection="1"/>
    <xf numFmtId="2" fontId="0" fillId="6" borderId="7" xfId="0" applyNumberFormat="1" applyFill="1" applyBorder="1" applyAlignment="1" applyProtection="1">
      <alignment horizontal="center"/>
    </xf>
    <xf numFmtId="0" fontId="24" fillId="6" borderId="7" xfId="0" applyFont="1" applyFill="1" applyBorder="1" applyProtection="1"/>
    <xf numFmtId="0" fontId="26" fillId="6" borderId="7" xfId="0" applyFont="1" applyFill="1" applyBorder="1" applyProtection="1"/>
    <xf numFmtId="2" fontId="26" fillId="6" borderId="7" xfId="0" applyNumberFormat="1" applyFont="1" applyFill="1" applyBorder="1" applyAlignment="1" applyProtection="1">
      <alignment horizontal="center"/>
    </xf>
    <xf numFmtId="0" fontId="26" fillId="6" borderId="0" xfId="0" applyFont="1" applyFill="1" applyProtection="1"/>
    <xf numFmtId="165" fontId="0" fillId="0" borderId="0" xfId="0" applyNumberFormat="1" applyFill="1" applyBorder="1" applyProtection="1">
      <protection locked="0"/>
    </xf>
    <xf numFmtId="44" fontId="0" fillId="4" borderId="1" xfId="0" applyNumberFormat="1" applyFill="1" applyBorder="1" applyProtection="1">
      <protection locked="0"/>
    </xf>
    <xf numFmtId="165" fontId="0" fillId="0" borderId="4" xfId="0" applyNumberFormat="1" applyFill="1" applyBorder="1" applyProtection="1">
      <protection locked="0"/>
    </xf>
    <xf numFmtId="0" fontId="4" fillId="0" borderId="0" xfId="0" applyFont="1" applyFill="1" applyBorder="1" applyAlignment="1" applyProtection="1">
      <alignment horizontal="center"/>
    </xf>
    <xf numFmtId="44" fontId="7" fillId="0" borderId="0" xfId="0" applyNumberFormat="1" applyFont="1" applyFill="1" applyBorder="1" applyAlignment="1" applyProtection="1">
      <alignment horizontal="right"/>
    </xf>
    <xf numFmtId="0" fontId="4" fillId="6" borderId="0" xfId="0" applyFont="1" applyFill="1" applyAlignment="1" applyProtection="1">
      <alignment horizontal="right"/>
    </xf>
    <xf numFmtId="0" fontId="4" fillId="0" borderId="0" xfId="0" applyFont="1" applyBorder="1" applyAlignment="1" applyProtection="1">
      <alignment horizontal="left"/>
    </xf>
    <xf numFmtId="0" fontId="25" fillId="0" borderId="0" xfId="0" applyFont="1" applyFill="1" applyBorder="1" applyProtection="1"/>
    <xf numFmtId="0" fontId="27" fillId="0" borderId="0" xfId="0" applyFont="1"/>
    <xf numFmtId="0" fontId="4" fillId="0" borderId="0" xfId="0" applyFont="1" applyBorder="1" applyAlignment="1" applyProtection="1">
      <alignment horizontal="left"/>
    </xf>
    <xf numFmtId="2" fontId="0" fillId="6" borderId="0" xfId="0" applyNumberFormat="1" applyFill="1" applyBorder="1" applyAlignment="1" applyProtection="1">
      <alignment horizontal="center"/>
    </xf>
    <xf numFmtId="1" fontId="0" fillId="6" borderId="0" xfId="0" applyNumberFormat="1" applyFill="1" applyBorder="1" applyAlignment="1" applyProtection="1">
      <alignment horizontal="center"/>
    </xf>
    <xf numFmtId="2" fontId="0" fillId="6" borderId="0" xfId="0" applyNumberFormat="1" applyFill="1" applyAlignment="1" applyProtection="1">
      <alignment horizontal="right"/>
    </xf>
    <xf numFmtId="0" fontId="24" fillId="6" borderId="0" xfId="0" applyFont="1" applyFill="1" applyProtection="1"/>
    <xf numFmtId="2" fontId="24" fillId="6" borderId="0" xfId="0" applyNumberFormat="1" applyFont="1" applyFill="1" applyBorder="1" applyAlignment="1" applyProtection="1">
      <alignment horizontal="left"/>
    </xf>
    <xf numFmtId="0" fontId="4" fillId="0" borderId="7" xfId="0" applyFont="1" applyBorder="1" applyAlignment="1" applyProtection="1">
      <alignment horizontal="center"/>
    </xf>
    <xf numFmtId="2" fontId="0" fillId="6" borderId="1" xfId="0" applyNumberFormat="1" applyFill="1" applyBorder="1" applyAlignment="1" applyProtection="1">
      <alignment horizontal="right"/>
    </xf>
    <xf numFmtId="0" fontId="4" fillId="0" borderId="0" xfId="0" applyFont="1" applyFill="1" applyAlignment="1" applyProtection="1">
      <alignment horizontal="center"/>
    </xf>
    <xf numFmtId="0" fontId="0" fillId="0" borderId="0" xfId="0" applyFill="1" applyAlignment="1">
      <alignment horizontal="center"/>
    </xf>
    <xf numFmtId="1" fontId="4" fillId="0" borderId="1" xfId="0" applyNumberFormat="1"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2" fontId="0" fillId="6" borderId="0" xfId="0" applyNumberFormat="1" applyFill="1" applyBorder="1" applyProtection="1">
      <protection locked="0"/>
    </xf>
    <xf numFmtId="2" fontId="0" fillId="4" borderId="3" xfId="0" applyNumberFormat="1" applyFill="1" applyBorder="1" applyAlignment="1" applyProtection="1">
      <alignment horizontal="right"/>
      <protection locked="0"/>
    </xf>
    <xf numFmtId="0" fontId="24" fillId="6" borderId="12" xfId="0" applyFont="1" applyFill="1" applyBorder="1" applyAlignment="1" applyProtection="1">
      <alignment horizontal="left"/>
    </xf>
    <xf numFmtId="1" fontId="0" fillId="6" borderId="12" xfId="0" applyNumberFormat="1" applyFill="1" applyBorder="1" applyAlignment="1" applyProtection="1">
      <alignment horizontal="center"/>
      <protection locked="0"/>
    </xf>
    <xf numFmtId="2" fontId="0" fillId="6" borderId="5" xfId="0" applyNumberFormat="1" applyFill="1" applyBorder="1" applyAlignment="1" applyProtection="1">
      <alignment horizontal="right"/>
      <protection locked="0"/>
    </xf>
    <xf numFmtId="2" fontId="0" fillId="6" borderId="12" xfId="0" applyNumberFormat="1" applyFill="1" applyBorder="1" applyAlignment="1" applyProtection="1">
      <alignment horizontal="right"/>
    </xf>
    <xf numFmtId="0" fontId="4" fillId="6" borderId="0" xfId="0" applyFont="1" applyFill="1" applyBorder="1" applyAlignment="1" applyProtection="1">
      <alignment horizontal="center"/>
    </xf>
    <xf numFmtId="0" fontId="0" fillId="6" borderId="0" xfId="0" applyFill="1" applyBorder="1" applyProtection="1"/>
    <xf numFmtId="44" fontId="0" fillId="6" borderId="9" xfId="0" applyNumberFormat="1" applyFill="1" applyBorder="1" applyAlignment="1" applyProtection="1">
      <alignment horizontal="right"/>
    </xf>
    <xf numFmtId="2" fontId="4" fillId="0" borderId="0" xfId="0" applyNumberFormat="1" applyFont="1" applyFill="1" applyBorder="1" applyAlignment="1" applyProtection="1">
      <alignment horizontal="left"/>
    </xf>
    <xf numFmtId="2" fontId="24" fillId="0" borderId="0" xfId="0" applyNumberFormat="1" applyFont="1" applyFill="1" applyBorder="1" applyAlignment="1" applyProtection="1">
      <alignment horizontal="left"/>
    </xf>
    <xf numFmtId="44" fontId="0" fillId="6" borderId="0" xfId="0" applyNumberFormat="1" applyFill="1" applyBorder="1" applyAlignment="1" applyProtection="1">
      <alignment horizontal="right"/>
    </xf>
    <xf numFmtId="0" fontId="7" fillId="0" borderId="6" xfId="0" applyFont="1" applyBorder="1" applyAlignment="1" applyProtection="1">
      <alignment horizontal="left"/>
    </xf>
    <xf numFmtId="0" fontId="4" fillId="0" borderId="6" xfId="0" applyFont="1" applyBorder="1" applyAlignment="1" applyProtection="1">
      <alignment horizontal="center"/>
    </xf>
    <xf numFmtId="1" fontId="0" fillId="0" borderId="6" xfId="0" applyNumberFormat="1" applyFill="1" applyBorder="1" applyAlignment="1" applyProtection="1">
      <alignment horizontal="center"/>
      <protection locked="0"/>
    </xf>
    <xf numFmtId="2" fontId="0" fillId="0" borderId="6" xfId="0" applyNumberFormat="1" applyFill="1" applyBorder="1" applyAlignment="1" applyProtection="1">
      <alignment horizontal="right"/>
      <protection locked="0"/>
    </xf>
    <xf numFmtId="0" fontId="0" fillId="4" borderId="11" xfId="0" applyFill="1" applyBorder="1" applyAlignment="1" applyProtection="1">
      <alignment horizontal="center"/>
      <protection locked="0"/>
    </xf>
    <xf numFmtId="2" fontId="0" fillId="4" borderId="11" xfId="0" applyNumberFormat="1" applyFill="1" applyBorder="1" applyProtection="1">
      <protection locked="0"/>
    </xf>
    <xf numFmtId="0" fontId="7" fillId="0" borderId="6" xfId="0" applyFont="1" applyBorder="1"/>
    <xf numFmtId="0" fontId="0" fillId="0" borderId="6" xfId="0" applyBorder="1" applyAlignment="1" applyProtection="1">
      <alignment horizontal="right"/>
    </xf>
    <xf numFmtId="0" fontId="0" fillId="0" borderId="6" xfId="0" applyFill="1" applyBorder="1" applyAlignment="1" applyProtection="1">
      <alignment horizontal="center"/>
      <protection locked="0"/>
    </xf>
    <xf numFmtId="2" fontId="0" fillId="0" borderId="6" xfId="0" applyNumberFormat="1" applyFill="1" applyBorder="1" applyProtection="1">
      <protection locked="0"/>
    </xf>
    <xf numFmtId="2" fontId="7" fillId="0" borderId="6" xfId="0" applyNumberFormat="1" applyFont="1" applyFill="1" applyBorder="1" applyAlignment="1" applyProtection="1">
      <alignment horizontal="left"/>
    </xf>
    <xf numFmtId="2" fontId="0" fillId="0" borderId="6" xfId="0" applyNumberFormat="1" applyFill="1" applyBorder="1" applyAlignment="1" applyProtection="1">
      <alignment horizontal="center"/>
    </xf>
    <xf numFmtId="3" fontId="0" fillId="0" borderId="6" xfId="0" applyNumberFormat="1" applyFill="1" applyBorder="1" applyAlignment="1" applyProtection="1">
      <alignment horizontal="center"/>
      <protection locked="0"/>
    </xf>
    <xf numFmtId="2" fontId="0" fillId="0" borderId="6" xfId="0" applyNumberFormat="1" applyBorder="1" applyAlignment="1" applyProtection="1">
      <alignment horizontal="center"/>
    </xf>
    <xf numFmtId="0" fontId="7" fillId="0" borderId="6" xfId="0" applyFont="1" applyBorder="1" applyProtection="1"/>
    <xf numFmtId="0" fontId="0" fillId="0" borderId="6" xfId="0" applyBorder="1" applyProtection="1"/>
    <xf numFmtId="1" fontId="0" fillId="7" borderId="0" xfId="0" applyNumberFormat="1" applyFill="1" applyBorder="1" applyAlignment="1" applyProtection="1">
      <alignment horizontal="center" vertical="center"/>
      <protection locked="0"/>
    </xf>
    <xf numFmtId="2" fontId="0" fillId="7" borderId="0" xfId="0" applyNumberFormat="1" applyFill="1" applyBorder="1" applyAlignment="1" applyProtection="1">
      <alignment horizontal="right" vertical="center"/>
    </xf>
    <xf numFmtId="1" fontId="4" fillId="0" borderId="0" xfId="0" applyNumberFormat="1" applyFont="1" applyFill="1" applyBorder="1" applyAlignment="1" applyProtection="1">
      <alignment horizontal="right"/>
    </xf>
    <xf numFmtId="44" fontId="0" fillId="0" borderId="0" xfId="0" applyNumberFormat="1" applyFill="1" applyBorder="1" applyAlignment="1" applyProtection="1">
      <alignment horizontal="center"/>
    </xf>
    <xf numFmtId="44" fontId="0" fillId="0" borderId="0" xfId="0" applyNumberFormat="1" applyFill="1" applyBorder="1" applyAlignment="1" applyProtection="1">
      <alignment horizontal="right"/>
      <protection locked="0"/>
    </xf>
    <xf numFmtId="2" fontId="0" fillId="0" borderId="4" xfId="0" applyNumberFormat="1" applyFill="1" applyBorder="1" applyAlignment="1" applyProtection="1">
      <alignment horizontal="right"/>
      <protection locked="0"/>
    </xf>
    <xf numFmtId="0" fontId="4" fillId="0" borderId="6" xfId="0" applyFont="1" applyFill="1" applyBorder="1" applyAlignment="1" applyProtection="1">
      <alignment horizontal="center"/>
    </xf>
    <xf numFmtId="0" fontId="4" fillId="0" borderId="1" xfId="0" applyFont="1" applyFill="1" applyBorder="1" applyAlignment="1" applyProtection="1">
      <alignment horizontal="left"/>
    </xf>
    <xf numFmtId="0" fontId="7" fillId="0" borderId="6" xfId="0" applyFont="1" applyFill="1" applyBorder="1" applyAlignment="1" applyProtection="1">
      <alignment horizontal="left"/>
    </xf>
    <xf numFmtId="165" fontId="0" fillId="4" borderId="1" xfId="0" applyNumberFormat="1" applyFill="1" applyBorder="1" applyAlignment="1" applyProtection="1">
      <alignment horizontal="center"/>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0" fillId="2" borderId="1" xfId="0" applyFill="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0" fillId="2" borderId="1" xfId="0" applyFill="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7" fillId="0" borderId="1" xfId="0" applyFont="1" applyFill="1" applyBorder="1" applyAlignment="1" applyProtection="1">
      <alignment horizontal="left"/>
    </xf>
    <xf numFmtId="44" fontId="0" fillId="4" borderId="1" xfId="0" applyNumberFormat="1" applyFill="1" applyBorder="1" applyAlignment="1" applyProtection="1">
      <alignment horizontal="center"/>
      <protection locked="0"/>
    </xf>
    <xf numFmtId="44" fontId="0" fillId="4" borderId="11" xfId="0" applyNumberFormat="1" applyFill="1" applyBorder="1" applyAlignment="1" applyProtection="1">
      <alignment horizontal="center"/>
      <protection locked="0"/>
    </xf>
    <xf numFmtId="44" fontId="0" fillId="4" borderId="11" xfId="0" applyNumberFormat="1" applyFill="1" applyBorder="1" applyProtection="1">
      <protection locked="0"/>
    </xf>
    <xf numFmtId="1" fontId="4" fillId="4" borderId="1" xfId="0" applyNumberFormat="1" applyFont="1" applyFill="1" applyBorder="1" applyAlignment="1" applyProtection="1">
      <alignment horizontal="center"/>
      <protection locked="0"/>
    </xf>
    <xf numFmtId="44" fontId="4" fillId="4" borderId="1" xfId="0" applyNumberFormat="1" applyFont="1" applyFill="1" applyBorder="1" applyAlignment="1" applyProtection="1">
      <alignment horizontal="center"/>
      <protection locked="0"/>
    </xf>
    <xf numFmtId="44" fontId="0" fillId="4" borderId="3" xfId="0" applyNumberFormat="1" applyFill="1" applyBorder="1" applyAlignment="1" applyProtection="1">
      <alignment horizontal="right"/>
      <protection locked="0"/>
    </xf>
    <xf numFmtId="0" fontId="24" fillId="0" borderId="0" xfId="0" applyFont="1" applyFill="1"/>
    <xf numFmtId="0" fontId="0" fillId="5" borderId="2" xfId="0" applyFill="1" applyBorder="1"/>
    <xf numFmtId="0" fontId="3" fillId="5" borderId="8" xfId="0" applyFont="1" applyFill="1" applyBorder="1"/>
    <xf numFmtId="0" fontId="3" fillId="5" borderId="6" xfId="0" applyFont="1" applyFill="1" applyBorder="1"/>
    <xf numFmtId="0" fontId="3" fillId="5" borderId="4" xfId="0" applyFont="1" applyFill="1" applyBorder="1"/>
    <xf numFmtId="0" fontId="28" fillId="5" borderId="5" xfId="0" applyFont="1" applyFill="1" applyBorder="1"/>
    <xf numFmtId="0" fontId="3" fillId="5" borderId="0" xfId="0" applyFont="1" applyFill="1"/>
    <xf numFmtId="0" fontId="28" fillId="5" borderId="0" xfId="0" applyFont="1" applyFill="1"/>
    <xf numFmtId="0" fontId="3" fillId="5" borderId="5" xfId="0" applyFont="1" applyFill="1" applyBorder="1"/>
    <xf numFmtId="0" fontId="3" fillId="5" borderId="13" xfId="0" applyFont="1" applyFill="1" applyBorder="1"/>
    <xf numFmtId="0" fontId="3" fillId="5" borderId="14" xfId="0" applyFont="1" applyFill="1" applyBorder="1"/>
    <xf numFmtId="0" fontId="3" fillId="5" borderId="7" xfId="0" applyFont="1" applyFill="1" applyBorder="1"/>
    <xf numFmtId="0" fontId="3" fillId="5" borderId="15" xfId="0" applyFont="1" applyFill="1" applyBorder="1"/>
    <xf numFmtId="0" fontId="29" fillId="5" borderId="2" xfId="0" applyFont="1" applyFill="1" applyBorder="1"/>
    <xf numFmtId="9" fontId="4" fillId="0" borderId="0" xfId="0" applyNumberFormat="1" applyFont="1" applyFill="1" applyBorder="1" applyAlignment="1" applyProtection="1">
      <alignment horizontal="center"/>
    </xf>
    <xf numFmtId="0" fontId="30" fillId="8" borderId="0" xfId="0" applyFont="1" applyFill="1"/>
    <xf numFmtId="9" fontId="0" fillId="4" borderId="1" xfId="0" applyNumberFormat="1" applyFill="1" applyBorder="1" applyAlignment="1" applyProtection="1">
      <alignment horizontal="right"/>
      <protection locked="0"/>
    </xf>
    <xf numFmtId="2" fontId="0" fillId="4" borderId="10" xfId="0" applyNumberFormat="1" applyFill="1" applyBorder="1" applyAlignment="1" applyProtection="1">
      <alignment horizontal="center"/>
    </xf>
    <xf numFmtId="0" fontId="22" fillId="4" borderId="2" xfId="0" applyFont="1" applyFill="1" applyBorder="1" applyProtection="1"/>
    <xf numFmtId="0" fontId="4" fillId="0" borderId="1" xfId="0" applyFont="1" applyFill="1" applyBorder="1" applyAlignment="1" applyProtection="1">
      <alignment horizontal="center"/>
    </xf>
    <xf numFmtId="0" fontId="4" fillId="0" borderId="0" xfId="0" applyFont="1" applyFill="1" applyAlignment="1" applyProtection="1">
      <alignment horizontal="left"/>
    </xf>
    <xf numFmtId="44" fontId="0" fillId="4" borderId="11" xfId="0" applyNumberFormat="1" applyFill="1" applyBorder="1" applyAlignment="1" applyProtection="1">
      <alignment horizontal="right"/>
      <protection locked="0"/>
    </xf>
    <xf numFmtId="1" fontId="0" fillId="4" borderId="9" xfId="0" applyNumberFormat="1" applyFill="1" applyBorder="1" applyAlignment="1" applyProtection="1">
      <alignment horizontal="center"/>
      <protection locked="0"/>
    </xf>
    <xf numFmtId="0" fontId="0" fillId="0" borderId="0" xfId="0" applyFill="1" applyBorder="1" applyAlignment="1">
      <alignment horizontal="center"/>
    </xf>
    <xf numFmtId="44" fontId="7" fillId="0" borderId="0" xfId="0" applyNumberFormat="1" applyFont="1" applyFill="1" applyBorder="1" applyProtection="1"/>
    <xf numFmtId="2" fontId="0" fillId="4" borderId="1" xfId="0" applyNumberFormat="1" applyFill="1" applyBorder="1" applyAlignment="1" applyProtection="1">
      <alignment horizontal="right"/>
      <protection locked="0"/>
    </xf>
    <xf numFmtId="14" fontId="11" fillId="0" borderId="0" xfId="0" quotePrefix="1" applyNumberFormat="1" applyFont="1" applyProtection="1"/>
    <xf numFmtId="0" fontId="4" fillId="0" borderId="0" xfId="0" applyFont="1" applyFill="1" applyBorder="1" applyProtection="1"/>
    <xf numFmtId="0" fontId="7" fillId="0" borderId="9" xfId="0" applyFont="1" applyFill="1" applyBorder="1" applyAlignment="1" applyProtection="1">
      <alignment horizontal="left"/>
    </xf>
    <xf numFmtId="0" fontId="4" fillId="4" borderId="1" xfId="0" applyFont="1" applyFill="1" applyBorder="1" applyAlignment="1" applyProtection="1">
      <alignment horizontal="right"/>
      <protection locked="0"/>
    </xf>
    <xf numFmtId="166" fontId="0" fillId="4" borderId="1" xfId="0" applyNumberFormat="1" applyFill="1" applyBorder="1" applyProtection="1">
      <protection locked="0"/>
    </xf>
    <xf numFmtId="0" fontId="0" fillId="4" borderId="1" xfId="0" applyFill="1" applyBorder="1" applyAlignment="1" applyProtection="1">
      <alignment horizontal="right"/>
      <protection locked="0"/>
    </xf>
    <xf numFmtId="164" fontId="4" fillId="4" borderId="1" xfId="0" applyNumberFormat="1" applyFont="1" applyFill="1" applyBorder="1" applyProtection="1">
      <protection locked="0"/>
    </xf>
    <xf numFmtId="0" fontId="4" fillId="4" borderId="1" xfId="0" applyFont="1" applyFill="1" applyBorder="1" applyProtection="1">
      <protection locked="0"/>
    </xf>
    <xf numFmtId="0" fontId="7" fillId="4" borderId="1" xfId="0" applyFont="1" applyFill="1" applyBorder="1" applyProtection="1">
      <protection locked="0"/>
    </xf>
    <xf numFmtId="164" fontId="0" fillId="4" borderId="1" xfId="0" applyNumberFormat="1" applyFill="1" applyBorder="1" applyProtection="1">
      <protection locked="0"/>
    </xf>
    <xf numFmtId="2" fontId="0" fillId="4" borderId="1" xfId="0" applyNumberFormat="1" applyFill="1" applyBorder="1" applyProtection="1">
      <protection locked="0"/>
    </xf>
    <xf numFmtId="0" fontId="4" fillId="4" borderId="1" xfId="0" applyFont="1" applyFill="1" applyBorder="1" applyAlignment="1" applyProtection="1">
      <alignment horizontal="center"/>
      <protection locked="0"/>
    </xf>
    <xf numFmtId="14" fontId="4" fillId="4" borderId="1" xfId="0" applyNumberFormat="1" applyFont="1" applyFill="1" applyBorder="1" applyAlignment="1" applyProtection="1">
      <alignment horizontal="right"/>
      <protection locked="0"/>
    </xf>
    <xf numFmtId="14" fontId="4" fillId="4" borderId="11" xfId="0" applyNumberFormat="1" applyFont="1" applyFill="1" applyBorder="1" applyAlignment="1" applyProtection="1">
      <alignment horizontal="right"/>
      <protection locked="0"/>
    </xf>
    <xf numFmtId="44" fontId="0" fillId="4" borderId="1" xfId="2" applyFont="1" applyFill="1" applyBorder="1" applyAlignment="1" applyProtection="1">
      <alignment horizontal="right"/>
      <protection locked="0"/>
    </xf>
    <xf numFmtId="0" fontId="0" fillId="4" borderId="1" xfId="0"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2" fontId="4" fillId="4" borderId="1" xfId="0" applyNumberFormat="1" applyFont="1" applyFill="1" applyBorder="1" applyAlignment="1" applyProtection="1">
      <alignment horizontal="right"/>
      <protection locked="0"/>
    </xf>
    <xf numFmtId="2" fontId="0" fillId="4" borderId="1" xfId="0" applyNumberFormat="1" applyFill="1" applyBorder="1" applyAlignment="1" applyProtection="1">
      <alignment horizontal="center"/>
      <protection locked="0"/>
    </xf>
    <xf numFmtId="9" fontId="4" fillId="4" borderId="1" xfId="0" applyNumberFormat="1" applyFont="1" applyFill="1" applyBorder="1" applyAlignment="1" applyProtection="1">
      <alignment horizontal="center"/>
      <protection locked="0"/>
    </xf>
    <xf numFmtId="165" fontId="0" fillId="4" borderId="11" xfId="0" applyNumberFormat="1" applyFill="1" applyBorder="1" applyAlignment="1" applyProtection="1">
      <alignment horizontal="center"/>
      <protection locked="0"/>
    </xf>
    <xf numFmtId="44" fontId="4" fillId="4" borderId="1" xfId="0" applyNumberFormat="1" applyFont="1" applyFill="1" applyBorder="1" applyAlignment="1" applyProtection="1">
      <alignment horizontal="right"/>
      <protection locked="0"/>
    </xf>
    <xf numFmtId="0" fontId="0" fillId="0" borderId="0" xfId="0" applyProtection="1">
      <protection locked="0"/>
    </xf>
    <xf numFmtId="10" fontId="4" fillId="4" borderId="1" xfId="0" applyNumberFormat="1" applyFont="1" applyFill="1" applyBorder="1" applyAlignment="1" applyProtection="1">
      <alignment horizontal="center"/>
      <protection locked="0"/>
    </xf>
    <xf numFmtId="0" fontId="7" fillId="0" borderId="0" xfId="0" applyFont="1" applyAlignment="1" applyProtection="1">
      <alignment horizontal="center"/>
    </xf>
    <xf numFmtId="1" fontId="7" fillId="0" borderId="0" xfId="0" applyNumberFormat="1" applyFont="1" applyAlignment="1" applyProtection="1">
      <alignment horizontal="center"/>
    </xf>
    <xf numFmtId="49" fontId="0" fillId="4" borderId="1" xfId="0" applyNumberFormat="1" applyFill="1" applyBorder="1" applyAlignment="1" applyProtection="1">
      <alignment horizontal="right"/>
      <protection locked="0"/>
    </xf>
    <xf numFmtId="0" fontId="0" fillId="4" borderId="11" xfId="0" applyFill="1" applyBorder="1" applyAlignment="1" applyProtection="1">
      <alignment horizontal="right"/>
      <protection locked="0"/>
    </xf>
    <xf numFmtId="14" fontId="4" fillId="0" borderId="0" xfId="0" applyNumberFormat="1" applyFont="1" applyBorder="1" applyAlignment="1" applyProtection="1">
      <alignment horizontal="right"/>
    </xf>
    <xf numFmtId="14" fontId="0" fillId="0" borderId="0" xfId="0" applyNumberFormat="1" applyBorder="1" applyAlignment="1" applyProtection="1">
      <alignment horizontal="right"/>
    </xf>
    <xf numFmtId="1" fontId="7" fillId="0" borderId="0" xfId="0" applyNumberFormat="1" applyFont="1" applyFill="1" applyBorder="1" applyAlignment="1" applyProtection="1">
      <alignment horizontal="center"/>
    </xf>
    <xf numFmtId="2" fontId="7" fillId="0" borderId="0" xfId="0" applyNumberFormat="1" applyFont="1" applyAlignment="1" applyProtection="1">
      <alignment horizontal="center"/>
    </xf>
    <xf numFmtId="2" fontId="7" fillId="0" borderId="0" xfId="0" applyNumberFormat="1" applyFont="1" applyFill="1" applyBorder="1" applyAlignment="1" applyProtection="1">
      <alignment horizontal="center" vertical="center"/>
    </xf>
    <xf numFmtId="0" fontId="7" fillId="0" borderId="1" xfId="0" applyFont="1" applyFill="1" applyBorder="1" applyAlignment="1" applyProtection="1">
      <alignment horizontal="center"/>
      <protection locked="0"/>
    </xf>
    <xf numFmtId="1" fontId="7" fillId="0" borderId="0"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horizontal="center"/>
      <protection locked="0"/>
    </xf>
    <xf numFmtId="44" fontId="7" fillId="0" borderId="0" xfId="0" applyNumberFormat="1" applyFont="1" applyFill="1" applyBorder="1" applyAlignment="1" applyProtection="1">
      <alignment horizontal="center"/>
    </xf>
    <xf numFmtId="0" fontId="7" fillId="0" borderId="7" xfId="0" applyFont="1" applyBorder="1" applyAlignment="1" applyProtection="1">
      <alignment horizontal="center"/>
    </xf>
    <xf numFmtId="0" fontId="7" fillId="0" borderId="0" xfId="0" applyFont="1" applyFill="1" applyAlignment="1" applyProtection="1">
      <alignment horizontal="center"/>
    </xf>
    <xf numFmtId="2" fontId="7" fillId="0" borderId="0" xfId="0" applyNumberFormat="1" applyFont="1" applyFill="1" applyBorder="1" applyAlignment="1" applyProtection="1">
      <alignment horizontal="right"/>
      <protection locked="0"/>
    </xf>
    <xf numFmtId="0" fontId="4" fillId="4" borderId="11" xfId="0" applyFont="1" applyFill="1" applyBorder="1" applyAlignment="1" applyProtection="1">
      <alignment horizontal="right"/>
      <protection locked="0"/>
    </xf>
    <xf numFmtId="10" fontId="0" fillId="4" borderId="1" xfId="0" applyNumberFormat="1" applyFill="1" applyBorder="1" applyAlignment="1" applyProtection="1">
      <alignment horizontal="center"/>
      <protection locked="0"/>
    </xf>
    <xf numFmtId="44" fontId="0" fillId="0" borderId="0" xfId="0" applyNumberFormat="1" applyFill="1" applyBorder="1" applyProtection="1">
      <protection locked="0"/>
    </xf>
    <xf numFmtId="0" fontId="4" fillId="0" borderId="0" xfId="0" applyFont="1" applyBorder="1" applyProtection="1"/>
    <xf numFmtId="2" fontId="7" fillId="0" borderId="0" xfId="0" applyNumberFormat="1" applyFont="1" applyAlignment="1" applyProtection="1">
      <alignment horizontal="right"/>
    </xf>
    <xf numFmtId="44" fontId="0" fillId="0" borderId="0" xfId="0" applyNumberFormat="1" applyFill="1" applyBorder="1"/>
    <xf numFmtId="44" fontId="7" fillId="0" borderId="0" xfId="0" applyNumberFormat="1" applyFont="1" applyFill="1" applyBorder="1" applyAlignment="1" applyProtection="1">
      <alignment horizontal="center"/>
      <protection locked="0"/>
    </xf>
    <xf numFmtId="2" fontId="7" fillId="0" borderId="7" xfId="0" applyNumberFormat="1" applyFont="1" applyFill="1" applyBorder="1" applyAlignment="1" applyProtection="1">
      <alignment horizontal="center"/>
      <protection locked="0"/>
    </xf>
    <xf numFmtId="0" fontId="7" fillId="0" borderId="1" xfId="0" applyFont="1" applyFill="1" applyBorder="1" applyAlignment="1" applyProtection="1">
      <alignment horizontal="center"/>
    </xf>
    <xf numFmtId="1" fontId="7" fillId="0" borderId="1" xfId="0" applyNumberFormat="1" applyFont="1" applyFill="1" applyBorder="1" applyAlignment="1" applyProtection="1">
      <alignment horizontal="center"/>
      <protection locked="0"/>
    </xf>
    <xf numFmtId="44" fontId="7" fillId="0" borderId="11" xfId="0" applyNumberFormat="1" applyFont="1" applyFill="1" applyBorder="1" applyProtection="1"/>
    <xf numFmtId="0" fontId="4" fillId="4" borderId="9" xfId="0" applyFont="1" applyFill="1" applyBorder="1" applyAlignment="1" applyProtection="1">
      <alignment horizontal="right"/>
      <protection locked="0"/>
    </xf>
    <xf numFmtId="44" fontId="0" fillId="4" borderId="14" xfId="0" applyNumberFormat="1" applyFill="1" applyBorder="1" applyAlignment="1" applyProtection="1">
      <alignment horizontal="right"/>
      <protection locked="0"/>
    </xf>
    <xf numFmtId="44" fontId="0" fillId="9" borderId="1" xfId="0" applyNumberFormat="1" applyFill="1" applyBorder="1" applyProtection="1"/>
    <xf numFmtId="2" fontId="0" fillId="9" borderId="1" xfId="0" applyNumberFormat="1" applyFill="1" applyBorder="1" applyAlignment="1" applyProtection="1">
      <alignment horizontal="center"/>
    </xf>
    <xf numFmtId="44" fontId="7" fillId="9" borderId="1" xfId="0" applyNumberFormat="1" applyFont="1" applyFill="1" applyBorder="1" applyProtection="1"/>
    <xf numFmtId="44" fontId="0" fillId="9" borderId="1" xfId="0" applyNumberFormat="1" applyFill="1" applyBorder="1" applyAlignment="1" applyProtection="1">
      <alignment horizontal="right" vertical="center"/>
    </xf>
    <xf numFmtId="44" fontId="0" fillId="9" borderId="1" xfId="0" applyNumberFormat="1" applyFill="1" applyBorder="1" applyAlignment="1" applyProtection="1">
      <alignment horizontal="right"/>
    </xf>
    <xf numFmtId="44" fontId="0" fillId="9" borderId="11" xfId="0" applyNumberFormat="1" applyFill="1" applyBorder="1" applyAlignment="1" applyProtection="1">
      <alignment horizontal="right"/>
    </xf>
    <xf numFmtId="44" fontId="0" fillId="9" borderId="1" xfId="2" applyFont="1" applyFill="1" applyBorder="1" applyAlignment="1" applyProtection="1">
      <alignment horizontal="right"/>
    </xf>
    <xf numFmtId="44" fontId="0" fillId="9" borderId="11" xfId="0" applyNumberFormat="1" applyFill="1" applyBorder="1" applyAlignment="1" applyProtection="1">
      <alignment horizontal="center"/>
    </xf>
    <xf numFmtId="44" fontId="7" fillId="9" borderId="1" xfId="0" applyNumberFormat="1" applyFont="1" applyFill="1" applyBorder="1" applyAlignment="1" applyProtection="1">
      <alignment horizontal="center"/>
    </xf>
    <xf numFmtId="44" fontId="7" fillId="9" borderId="1" xfId="0" applyNumberFormat="1" applyFont="1" applyFill="1" applyBorder="1" applyAlignment="1" applyProtection="1">
      <alignment horizontal="right"/>
    </xf>
    <xf numFmtId="2" fontId="0" fillId="9" borderId="1" xfId="0" applyNumberFormat="1" applyFill="1" applyBorder="1" applyAlignment="1" applyProtection="1">
      <alignment horizontal="right"/>
    </xf>
    <xf numFmtId="44" fontId="7" fillId="9" borderId="1" xfId="0" applyNumberFormat="1" applyFont="1" applyFill="1" applyBorder="1" applyAlignment="1" applyProtection="1">
      <alignment horizontal="right" vertical="center"/>
    </xf>
    <xf numFmtId="0" fontId="0" fillId="10" borderId="10" xfId="0" applyFill="1" applyBorder="1" applyAlignment="1" applyProtection="1">
      <alignment horizontal="center"/>
    </xf>
    <xf numFmtId="164" fontId="0" fillId="10" borderId="1" xfId="0" applyNumberFormat="1" applyFill="1" applyBorder="1" applyAlignment="1">
      <alignment horizontal="center"/>
    </xf>
    <xf numFmtId="0" fontId="0" fillId="10" borderId="1" xfId="0" quotePrefix="1" applyFill="1" applyBorder="1" applyAlignment="1" applyProtection="1">
      <alignment horizontal="center"/>
    </xf>
    <xf numFmtId="0" fontId="0" fillId="10" borderId="1" xfId="0" applyFill="1" applyBorder="1" applyAlignment="1" applyProtection="1">
      <alignment horizontal="center"/>
    </xf>
    <xf numFmtId="0" fontId="0" fillId="10" borderId="1" xfId="0" quotePrefix="1" applyFill="1" applyBorder="1" applyAlignment="1">
      <alignment horizontal="center"/>
    </xf>
    <xf numFmtId="0" fontId="7" fillId="10" borderId="2" xfId="0" applyFont="1" applyFill="1" applyBorder="1" applyAlignment="1" applyProtection="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0" borderId="14" xfId="0" applyFont="1" applyFill="1" applyBorder="1" applyAlignment="1" applyProtection="1">
      <alignment horizontal="left"/>
    </xf>
    <xf numFmtId="0" fontId="4" fillId="4" borderId="9" xfId="0" applyFont="1" applyFill="1" applyBorder="1" applyAlignment="1" applyProtection="1">
      <alignment horizontal="center"/>
      <protection locked="0"/>
    </xf>
    <xf numFmtId="2" fontId="0" fillId="4" borderId="14" xfId="0" applyNumberFormat="1" applyFill="1" applyBorder="1" applyAlignment="1" applyProtection="1">
      <alignment horizontal="right"/>
      <protection locked="0"/>
    </xf>
    <xf numFmtId="44" fontId="0" fillId="9" borderId="9" xfId="0" applyNumberFormat="1" applyFill="1" applyBorder="1" applyAlignment="1" applyProtection="1">
      <alignment horizontal="right"/>
    </xf>
    <xf numFmtId="1" fontId="7" fillId="0" borderId="7" xfId="0" applyNumberFormat="1" applyFont="1" applyFill="1" applyBorder="1" applyAlignment="1" applyProtection="1">
      <alignment horizontal="center"/>
      <protection locked="0"/>
    </xf>
    <xf numFmtId="44" fontId="7" fillId="0" borderId="7" xfId="0" applyNumberFormat="1" applyFont="1" applyFill="1" applyBorder="1" applyAlignment="1" applyProtection="1">
      <alignment horizontal="center"/>
    </xf>
    <xf numFmtId="0" fontId="4" fillId="4" borderId="2" xfId="0" applyFont="1" applyFill="1" applyBorder="1" applyAlignment="1" applyProtection="1">
      <alignment horizontal="right"/>
      <protection locked="0"/>
    </xf>
    <xf numFmtId="0" fontId="4" fillId="0" borderId="12" xfId="0" applyFont="1" applyBorder="1" applyAlignment="1" applyProtection="1">
      <alignment horizontal="center"/>
    </xf>
    <xf numFmtId="4" fontId="0" fillId="9" borderId="1" xfId="0" applyNumberFormat="1" applyFill="1" applyBorder="1"/>
    <xf numFmtId="4" fontId="0" fillId="9" borderId="1" xfId="0" applyNumberFormat="1" applyFill="1" applyBorder="1" applyProtection="1"/>
    <xf numFmtId="164" fontId="0" fillId="9" borderId="1" xfId="0" applyNumberFormat="1" applyFill="1" applyBorder="1" applyProtection="1"/>
    <xf numFmtId="0" fontId="0" fillId="9" borderId="1" xfId="0" applyFill="1" applyBorder="1" applyProtection="1"/>
    <xf numFmtId="164" fontId="0" fillId="9" borderId="1" xfId="0" applyNumberFormat="1" applyFill="1" applyBorder="1"/>
    <xf numFmtId="0" fontId="0" fillId="9" borderId="1" xfId="0" applyFill="1" applyBorder="1"/>
    <xf numFmtId="1" fontId="0" fillId="9" borderId="1" xfId="0" applyNumberFormat="1" applyFill="1" applyBorder="1"/>
    <xf numFmtId="4" fontId="0" fillId="9" borderId="1" xfId="0" applyNumberFormat="1" applyFill="1" applyBorder="1" applyAlignment="1" applyProtection="1">
      <alignment horizontal="right"/>
    </xf>
    <xf numFmtId="1" fontId="0" fillId="9" borderId="1" xfId="0" applyNumberFormat="1" applyFill="1" applyBorder="1" applyAlignment="1" applyProtection="1">
      <alignment horizontal="center"/>
      <protection locked="0"/>
    </xf>
    <xf numFmtId="44" fontId="4" fillId="9" borderId="1" xfId="0" applyNumberFormat="1" applyFont="1" applyFill="1" applyBorder="1" applyAlignment="1" applyProtection="1">
      <alignment horizontal="center"/>
    </xf>
    <xf numFmtId="9" fontId="0" fillId="4" borderId="1" xfId="0" applyNumberFormat="1" applyFill="1" applyBorder="1" applyAlignment="1" applyProtection="1">
      <alignment horizontal="center"/>
      <protection locked="0"/>
    </xf>
    <xf numFmtId="0" fontId="7" fillId="0" borderId="7" xfId="0" applyFont="1" applyFill="1" applyBorder="1" applyAlignment="1" applyProtection="1">
      <alignment horizontal="center"/>
    </xf>
    <xf numFmtId="0" fontId="0" fillId="11" borderId="10" xfId="0" applyFill="1" applyBorder="1" applyAlignment="1" applyProtection="1">
      <alignment horizontal="center"/>
    </xf>
    <xf numFmtId="164" fontId="0" fillId="11" borderId="1" xfId="0" applyNumberFormat="1" applyFill="1" applyBorder="1" applyAlignment="1">
      <alignment horizontal="center"/>
    </xf>
    <xf numFmtId="0" fontId="0" fillId="11" borderId="1" xfId="0" quotePrefix="1" applyFill="1" applyBorder="1" applyAlignment="1" applyProtection="1">
      <alignment horizontal="center"/>
    </xf>
    <xf numFmtId="0" fontId="0" fillId="11" borderId="1" xfId="0" applyFill="1" applyBorder="1" applyAlignment="1" applyProtection="1">
      <alignment horizontal="center"/>
    </xf>
    <xf numFmtId="0" fontId="0" fillId="11" borderId="1" xfId="0" quotePrefix="1" applyFill="1" applyBorder="1" applyAlignment="1">
      <alignment horizontal="center"/>
    </xf>
    <xf numFmtId="0" fontId="7" fillId="11" borderId="2" xfId="0" applyFont="1" applyFill="1" applyBorder="1" applyAlignment="1" applyProtection="1">
      <alignment horizontal="center"/>
    </xf>
    <xf numFmtId="0" fontId="7" fillId="0" borderId="0" xfId="0" applyFont="1" applyFill="1" applyBorder="1" applyAlignment="1" applyProtection="1">
      <alignment horizontal="center"/>
      <protection locked="0"/>
    </xf>
    <xf numFmtId="0" fontId="7" fillId="0" borderId="0" xfId="0" applyFont="1" applyAlignment="1">
      <alignment horizontal="center" wrapText="1"/>
    </xf>
    <xf numFmtId="0" fontId="7" fillId="0" borderId="0" xfId="0" applyFont="1" applyBorder="1" applyAlignment="1" applyProtection="1">
      <alignment horizontal="center" wrapText="1"/>
    </xf>
    <xf numFmtId="0" fontId="7" fillId="0" borderId="0" xfId="0" applyFont="1" applyAlignment="1" applyProtection="1">
      <alignment horizontal="center" wrapText="1"/>
    </xf>
    <xf numFmtId="44" fontId="0" fillId="9" borderId="11" xfId="0" applyNumberFormat="1" applyFill="1" applyBorder="1" applyProtection="1"/>
    <xf numFmtId="2" fontId="7" fillId="0" borderId="7" xfId="0" applyNumberFormat="1" applyFont="1" applyBorder="1" applyAlignment="1" applyProtection="1">
      <alignment horizontal="center"/>
    </xf>
    <xf numFmtId="1" fontId="7" fillId="0" borderId="8" xfId="0" applyNumberFormat="1" applyFont="1" applyFill="1" applyBorder="1" applyAlignment="1" applyProtection="1">
      <alignment horizontal="center"/>
      <protection locked="0"/>
    </xf>
    <xf numFmtId="2" fontId="7" fillId="0" borderId="8" xfId="0" applyNumberFormat="1" applyFont="1" applyFill="1" applyBorder="1" applyAlignment="1" applyProtection="1">
      <alignment horizontal="center"/>
      <protection locked="0"/>
    </xf>
    <xf numFmtId="2" fontId="7" fillId="0" borderId="8" xfId="0" applyNumberFormat="1" applyFont="1" applyBorder="1" applyAlignment="1" applyProtection="1">
      <alignment horizontal="center"/>
    </xf>
    <xf numFmtId="2" fontId="7" fillId="0" borderId="7" xfId="0" applyNumberFormat="1" applyFont="1" applyFill="1" applyBorder="1" applyAlignment="1" applyProtection="1">
      <alignment horizontal="left"/>
    </xf>
    <xf numFmtId="2" fontId="0" fillId="0" borderId="7" xfId="0" applyNumberFormat="1" applyFill="1" applyBorder="1" applyAlignment="1" applyProtection="1">
      <alignment horizontal="center"/>
    </xf>
    <xf numFmtId="1" fontId="0" fillId="0" borderId="7" xfId="0" applyNumberFormat="1" applyFill="1" applyBorder="1" applyAlignment="1" applyProtection="1">
      <alignment horizontal="center"/>
    </xf>
    <xf numFmtId="2" fontId="0" fillId="0" borderId="15" xfId="0" applyNumberFormat="1" applyFill="1" applyBorder="1" applyAlignment="1" applyProtection="1">
      <alignment horizontal="right"/>
    </xf>
    <xf numFmtId="2" fontId="0" fillId="0" borderId="15" xfId="0" applyNumberFormat="1" applyFill="1" applyBorder="1" applyAlignment="1" applyProtection="1">
      <alignment horizontal="center"/>
    </xf>
    <xf numFmtId="2" fontId="0" fillId="0" borderId="9" xfId="0" applyNumberFormat="1" applyFill="1" applyBorder="1" applyAlignment="1" applyProtection="1">
      <alignment horizontal="center"/>
    </xf>
    <xf numFmtId="1" fontId="0" fillId="0" borderId="7" xfId="0" applyNumberFormat="1" applyFill="1" applyBorder="1" applyAlignment="1" applyProtection="1">
      <alignment horizontal="center"/>
      <protection locked="0"/>
    </xf>
    <xf numFmtId="2" fontId="0" fillId="0" borderId="15" xfId="0" applyNumberFormat="1" applyFill="1" applyBorder="1" applyAlignment="1" applyProtection="1">
      <alignment horizontal="right"/>
      <protection locked="0"/>
    </xf>
    <xf numFmtId="0" fontId="4" fillId="0" borderId="9" xfId="0" applyFont="1" applyBorder="1" applyAlignment="1" applyProtection="1">
      <alignment horizontal="center"/>
    </xf>
    <xf numFmtId="0" fontId="7" fillId="0" borderId="2" xfId="0" applyFont="1" applyFill="1" applyBorder="1" applyAlignment="1" applyProtection="1">
      <alignment horizontal="left"/>
    </xf>
    <xf numFmtId="0" fontId="4" fillId="0" borderId="7" xfId="0" applyFont="1" applyFill="1" applyBorder="1" applyAlignment="1" applyProtection="1">
      <alignment horizontal="center"/>
    </xf>
    <xf numFmtId="44" fontId="0" fillId="0" borderId="15" xfId="0" applyNumberFormat="1" applyFill="1" applyBorder="1" applyAlignment="1" applyProtection="1">
      <alignment horizontal="right"/>
      <protection locked="0"/>
    </xf>
    <xf numFmtId="44" fontId="7" fillId="9" borderId="9" xfId="0" applyNumberFormat="1" applyFont="1" applyFill="1" applyBorder="1" applyAlignment="1" applyProtection="1">
      <alignment horizontal="right"/>
    </xf>
    <xf numFmtId="165" fontId="0" fillId="9" borderId="1" xfId="0" applyNumberFormat="1" applyFill="1" applyBorder="1" applyAlignment="1" applyProtection="1">
      <alignment horizontal="center"/>
    </xf>
    <xf numFmtId="44" fontId="0" fillId="9" borderId="1" xfId="0" applyNumberFormat="1" applyFill="1" applyBorder="1"/>
    <xf numFmtId="44" fontId="4" fillId="0" borderId="1" xfId="0" applyNumberFormat="1" applyFont="1" applyFill="1" applyBorder="1" applyAlignment="1" applyProtection="1">
      <alignment horizontal="center"/>
      <protection locked="0"/>
    </xf>
    <xf numFmtId="0" fontId="7" fillId="0" borderId="7" xfId="0" applyFont="1" applyFill="1" applyBorder="1" applyAlignment="1" applyProtection="1">
      <alignment horizontal="left"/>
    </xf>
    <xf numFmtId="0" fontId="7" fillId="0" borderId="8" xfId="0" applyFont="1" applyFill="1" applyBorder="1" applyAlignment="1" applyProtection="1">
      <alignment horizontal="left"/>
    </xf>
    <xf numFmtId="0" fontId="4" fillId="0" borderId="8" xfId="0" applyFont="1" applyBorder="1" applyAlignment="1" applyProtection="1">
      <alignment horizontal="center"/>
    </xf>
    <xf numFmtId="1" fontId="0" fillId="0" borderId="8" xfId="0" applyNumberFormat="1" applyFill="1" applyBorder="1" applyAlignment="1" applyProtection="1">
      <alignment horizontal="center"/>
      <protection locked="0"/>
    </xf>
    <xf numFmtId="44" fontId="0" fillId="0" borderId="10" xfId="0" applyNumberFormat="1" applyFill="1" applyBorder="1" applyAlignment="1" applyProtection="1">
      <alignment horizontal="right"/>
      <protection locked="0"/>
    </xf>
    <xf numFmtId="0" fontId="4" fillId="0" borderId="8" xfId="0" applyFont="1" applyFill="1" applyBorder="1" applyAlignment="1" applyProtection="1">
      <alignment horizontal="center"/>
    </xf>
    <xf numFmtId="0" fontId="11" fillId="0" borderId="0" xfId="0" applyFont="1"/>
    <xf numFmtId="0" fontId="31" fillId="0" borderId="0" xfId="0" applyFont="1" applyAlignment="1">
      <alignment vertical="center"/>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13" fillId="0" borderId="0" xfId="0" applyFont="1"/>
    <xf numFmtId="14" fontId="4" fillId="0" borderId="0" xfId="0" quotePrefix="1" applyNumberFormat="1" applyFont="1"/>
    <xf numFmtId="2" fontId="0" fillId="4" borderId="1" xfId="0" applyNumberFormat="1" applyFill="1" applyBorder="1" applyAlignment="1">
      <alignment horizontal="center"/>
    </xf>
    <xf numFmtId="0" fontId="17" fillId="0" borderId="0" xfId="0" applyFont="1"/>
    <xf numFmtId="2" fontId="0" fillId="9" borderId="1" xfId="0" applyNumberFormat="1" applyFill="1" applyBorder="1" applyAlignment="1">
      <alignment horizontal="center"/>
    </xf>
    <xf numFmtId="2" fontId="0" fillId="5" borderId="1" xfId="0" applyNumberFormat="1" applyFill="1" applyBorder="1" applyAlignment="1">
      <alignment horizontal="center"/>
    </xf>
    <xf numFmtId="2" fontId="0" fillId="0" borderId="0" xfId="0" applyNumberFormat="1" applyAlignment="1">
      <alignment horizontal="center"/>
    </xf>
    <xf numFmtId="0" fontId="24" fillId="6" borderId="7" xfId="0" applyFont="1" applyFill="1" applyBorder="1"/>
    <xf numFmtId="0" fontId="0" fillId="6" borderId="7" xfId="0" applyFill="1" applyBorder="1"/>
    <xf numFmtId="2" fontId="0" fillId="6" borderId="7" xfId="0" applyNumberFormat="1" applyFill="1" applyBorder="1" applyAlignment="1">
      <alignment horizontal="center"/>
    </xf>
    <xf numFmtId="2" fontId="7" fillId="0" borderId="0" xfId="0" applyNumberFormat="1" applyFont="1" applyAlignment="1">
      <alignment horizontal="center"/>
    </xf>
    <xf numFmtId="44" fontId="0" fillId="0" borderId="0" xfId="0" applyNumberFormat="1" applyProtection="1">
      <protection locked="0"/>
    </xf>
    <xf numFmtId="44" fontId="0" fillId="0" borderId="11" xfId="0" applyNumberFormat="1" applyBorder="1"/>
    <xf numFmtId="0" fontId="0" fillId="0" borderId="6" xfId="0" applyBorder="1"/>
    <xf numFmtId="2" fontId="0" fillId="0" borderId="6" xfId="0" applyNumberFormat="1" applyBorder="1" applyAlignment="1">
      <alignment horizontal="center"/>
    </xf>
    <xf numFmtId="44" fontId="7" fillId="9" borderId="1" xfId="0" applyNumberFormat="1" applyFont="1" applyFill="1" applyBorder="1"/>
    <xf numFmtId="0" fontId="26" fillId="6" borderId="7" xfId="0" applyFont="1" applyFill="1" applyBorder="1"/>
    <xf numFmtId="2" fontId="26" fillId="6" borderId="7" xfId="0" applyNumberFormat="1" applyFont="1" applyFill="1" applyBorder="1" applyAlignment="1">
      <alignment horizontal="center"/>
    </xf>
    <xf numFmtId="0" fontId="26" fillId="6" borderId="0" xfId="0" applyFont="1" applyFill="1"/>
    <xf numFmtId="0" fontId="0" fillId="6" borderId="0" xfId="0" applyFill="1" applyAlignment="1">
      <alignment horizontal="center"/>
    </xf>
    <xf numFmtId="0" fontId="9" fillId="7" borderId="0" xfId="0" applyFont="1" applyFill="1" applyAlignment="1">
      <alignment horizontal="left"/>
    </xf>
    <xf numFmtId="0" fontId="17" fillId="7" borderId="0" xfId="0" applyFont="1" applyFill="1" applyAlignment="1">
      <alignment horizontal="left"/>
    </xf>
    <xf numFmtId="2" fontId="0" fillId="7" borderId="0" xfId="0" applyNumberFormat="1" applyFill="1" applyAlignment="1">
      <alignment horizontal="center"/>
    </xf>
    <xf numFmtId="0" fontId="6" fillId="0" borderId="0" xfId="0" applyFont="1" applyAlignment="1">
      <alignment horizontal="left"/>
    </xf>
    <xf numFmtId="0" fontId="4" fillId="0" borderId="0" xfId="0" applyFont="1" applyAlignment="1">
      <alignment horizontal="right" vertical="center"/>
    </xf>
    <xf numFmtId="44" fontId="0" fillId="9" borderId="1" xfId="0" applyNumberFormat="1" applyFill="1" applyBorder="1" applyAlignment="1">
      <alignment horizontal="right" vertical="center"/>
    </xf>
    <xf numFmtId="0" fontId="4" fillId="0" borderId="0" xfId="0" applyFont="1" applyAlignment="1">
      <alignment horizontal="right"/>
    </xf>
    <xf numFmtId="2" fontId="0" fillId="0" borderId="0" xfId="0" applyNumberFormat="1"/>
    <xf numFmtId="1" fontId="0" fillId="0" borderId="0" xfId="0" applyNumberFormat="1" applyAlignment="1" applyProtection="1">
      <alignment horizontal="center" vertical="center"/>
      <protection locked="0"/>
    </xf>
    <xf numFmtId="2" fontId="0" fillId="0" borderId="0" xfId="0" applyNumberFormat="1" applyAlignment="1">
      <alignment horizontal="right"/>
    </xf>
    <xf numFmtId="2" fontId="0" fillId="0" borderId="0" xfId="0" applyNumberFormat="1" applyAlignment="1">
      <alignment horizontal="right" vertical="center"/>
    </xf>
    <xf numFmtId="44" fontId="0" fillId="9" borderId="1" xfId="0" applyNumberFormat="1" applyFill="1" applyBorder="1" applyAlignment="1">
      <alignment horizontal="right"/>
    </xf>
    <xf numFmtId="0" fontId="0" fillId="0" borderId="0" xfId="0" applyAlignment="1">
      <alignment horizontal="right"/>
    </xf>
    <xf numFmtId="1" fontId="0" fillId="0" borderId="0" xfId="0" applyNumberFormat="1" applyAlignment="1" applyProtection="1">
      <alignment horizontal="right"/>
      <protection locked="0"/>
    </xf>
    <xf numFmtId="44" fontId="0" fillId="9" borderId="11" xfId="0" applyNumberFormat="1" applyFill="1" applyBorder="1" applyAlignment="1">
      <alignment horizontal="right"/>
    </xf>
    <xf numFmtId="14" fontId="4" fillId="0" borderId="0" xfId="0" applyNumberFormat="1" applyFont="1" applyAlignment="1">
      <alignment horizontal="right"/>
    </xf>
    <xf numFmtId="1" fontId="0" fillId="0" borderId="0" xfId="0" applyNumberFormat="1" applyAlignment="1" applyProtection="1">
      <alignment horizontal="center"/>
      <protection locked="0"/>
    </xf>
    <xf numFmtId="44" fontId="0" fillId="0" borderId="0" xfId="0" applyNumberFormat="1" applyAlignment="1">
      <alignment horizontal="right"/>
    </xf>
    <xf numFmtId="0" fontId="9" fillId="7" borderId="0" xfId="0" applyFont="1" applyFill="1" applyAlignment="1">
      <alignment horizontal="left" vertical="center"/>
    </xf>
    <xf numFmtId="0" fontId="0" fillId="7" borderId="0" xfId="0" applyFill="1" applyAlignment="1">
      <alignment horizontal="center"/>
    </xf>
    <xf numFmtId="1" fontId="0" fillId="7" borderId="0" xfId="0" applyNumberFormat="1" applyFill="1" applyAlignment="1" applyProtection="1">
      <alignment horizontal="center" vertical="center"/>
      <protection locked="0"/>
    </xf>
    <xf numFmtId="2" fontId="0" fillId="7" borderId="0" xfId="0" applyNumberFormat="1" applyFill="1" applyAlignment="1">
      <alignment horizontal="right" vertical="center"/>
    </xf>
    <xf numFmtId="1" fontId="7" fillId="0" borderId="0" xfId="0" applyNumberFormat="1" applyFont="1" applyAlignment="1">
      <alignment horizontal="center"/>
    </xf>
    <xf numFmtId="0" fontId="6" fillId="0" borderId="0" xfId="0" applyFont="1"/>
    <xf numFmtId="0" fontId="7" fillId="0" borderId="0" xfId="0" applyFont="1" applyAlignment="1">
      <alignment horizontal="right"/>
    </xf>
    <xf numFmtId="0" fontId="4" fillId="0" borderId="1" xfId="0" applyFont="1" applyBorder="1"/>
    <xf numFmtId="0" fontId="0" fillId="0" borderId="1" xfId="0" applyBorder="1" applyAlignment="1">
      <alignment horizontal="center"/>
    </xf>
    <xf numFmtId="2" fontId="7" fillId="0" borderId="0" xfId="0" applyNumberFormat="1" applyFont="1" applyAlignment="1">
      <alignment horizontal="center" vertical="center"/>
    </xf>
    <xf numFmtId="14" fontId="0" fillId="0" borderId="0" xfId="0" applyNumberFormat="1" applyAlignment="1">
      <alignment horizontal="right"/>
    </xf>
    <xf numFmtId="9" fontId="7" fillId="0" borderId="0" xfId="0" applyNumberFormat="1" applyFont="1"/>
    <xf numFmtId="1" fontId="0" fillId="0" borderId="0" xfId="0" applyNumberFormat="1"/>
    <xf numFmtId="1" fontId="0" fillId="0" borderId="0" xfId="0" applyNumberFormat="1" applyAlignment="1">
      <alignment horizontal="center"/>
    </xf>
    <xf numFmtId="0" fontId="4" fillId="0" borderId="1" xfId="0" applyFont="1" applyBorder="1" applyAlignment="1">
      <alignment horizontal="left"/>
    </xf>
    <xf numFmtId="44" fontId="0" fillId="0" borderId="1" xfId="0" applyNumberFormat="1" applyBorder="1" applyAlignment="1">
      <alignment horizontal="right"/>
    </xf>
    <xf numFmtId="0" fontId="9" fillId="0" borderId="0" xfId="0" applyFont="1" applyAlignment="1">
      <alignment horizontal="center"/>
    </xf>
    <xf numFmtId="0" fontId="18" fillId="0" borderId="0" xfId="0" applyFont="1"/>
    <xf numFmtId="0" fontId="0" fillId="0" borderId="0" xfId="0" applyAlignment="1">
      <alignment horizontal="left"/>
    </xf>
    <xf numFmtId="165" fontId="0" fillId="0" borderId="4" xfId="0" applyNumberFormat="1" applyBorder="1" applyProtection="1">
      <protection locked="0"/>
    </xf>
    <xf numFmtId="0" fontId="4" fillId="0" borderId="1" xfId="0" applyFont="1" applyBorder="1" applyProtection="1">
      <protection locked="0"/>
    </xf>
    <xf numFmtId="165" fontId="0" fillId="0" borderId="0" xfId="0" applyNumberFormat="1" applyProtection="1">
      <protection locked="0"/>
    </xf>
    <xf numFmtId="165" fontId="4" fillId="0" borderId="0" xfId="0" applyNumberFormat="1" applyFont="1" applyProtection="1">
      <protection locked="0"/>
    </xf>
    <xf numFmtId="0" fontId="9" fillId="0" borderId="0" xfId="0" applyFont="1" applyAlignment="1">
      <alignment horizontal="left"/>
    </xf>
    <xf numFmtId="0" fontId="7" fillId="0" borderId="6" xfId="0" applyFont="1" applyBorder="1" applyAlignment="1">
      <alignment horizontal="left"/>
    </xf>
    <xf numFmtId="0" fontId="0" fillId="0" borderId="6" xfId="0" applyBorder="1" applyAlignment="1">
      <alignment horizontal="right"/>
    </xf>
    <xf numFmtId="3" fontId="0" fillId="0" borderId="6" xfId="0" applyNumberFormat="1" applyBorder="1" applyAlignment="1" applyProtection="1">
      <alignment horizontal="center"/>
      <protection locked="0"/>
    </xf>
    <xf numFmtId="44" fontId="7" fillId="9" borderId="1" xfId="0" applyNumberFormat="1" applyFont="1" applyFill="1" applyBorder="1" applyAlignment="1">
      <alignment horizontal="center"/>
    </xf>
    <xf numFmtId="0" fontId="24" fillId="6" borderId="0" xfId="0" applyFont="1" applyFill="1" applyAlignment="1">
      <alignment horizontal="left"/>
    </xf>
    <xf numFmtId="0" fontId="4" fillId="6" borderId="0" xfId="0" applyFont="1" applyFill="1" applyAlignment="1">
      <alignment horizontal="center"/>
    </xf>
    <xf numFmtId="1" fontId="0" fillId="6" borderId="0" xfId="0" applyNumberFormat="1" applyFill="1" applyAlignment="1" applyProtection="1">
      <alignment horizontal="center"/>
      <protection locked="0"/>
    </xf>
    <xf numFmtId="2" fontId="0" fillId="6" borderId="0" xfId="0" applyNumberFormat="1" applyFill="1" applyAlignment="1" applyProtection="1">
      <alignment horizontal="right"/>
      <protection locked="0"/>
    </xf>
    <xf numFmtId="44" fontId="0" fillId="6" borderId="0" xfId="0" applyNumberFormat="1" applyFill="1" applyAlignment="1">
      <alignment horizontal="right"/>
    </xf>
    <xf numFmtId="1" fontId="4" fillId="0" borderId="0" xfId="0" applyNumberFormat="1" applyFont="1" applyAlignment="1">
      <alignment horizontal="right"/>
    </xf>
    <xf numFmtId="2" fontId="4" fillId="0" borderId="0" xfId="0" applyNumberFormat="1" applyFont="1" applyAlignment="1">
      <alignment horizontal="right"/>
    </xf>
    <xf numFmtId="44" fontId="0" fillId="0" borderId="0" xfId="0" applyNumberFormat="1" applyAlignment="1">
      <alignment horizontal="center"/>
    </xf>
    <xf numFmtId="2" fontId="4" fillId="0" borderId="0" xfId="0" applyNumberFormat="1" applyFont="1" applyAlignment="1">
      <alignment horizontal="left"/>
    </xf>
    <xf numFmtId="44" fontId="0" fillId="0" borderId="0" xfId="0" applyNumberFormat="1" applyAlignment="1" applyProtection="1">
      <alignment horizontal="right"/>
      <protection locked="0"/>
    </xf>
    <xf numFmtId="2" fontId="4" fillId="0" borderId="0" xfId="0" applyNumberFormat="1" applyFont="1" applyAlignment="1">
      <alignment horizontal="center"/>
    </xf>
    <xf numFmtId="2" fontId="7" fillId="0" borderId="6" xfId="0" applyNumberFormat="1" applyFont="1" applyBorder="1" applyAlignment="1">
      <alignment horizontal="left"/>
    </xf>
    <xf numFmtId="1" fontId="0" fillId="0" borderId="6" xfId="0" applyNumberFormat="1" applyBorder="1" applyAlignment="1" applyProtection="1">
      <alignment horizontal="center"/>
      <protection locked="0"/>
    </xf>
    <xf numFmtId="2" fontId="0" fillId="0" borderId="4" xfId="0" applyNumberFormat="1" applyBorder="1" applyAlignment="1" applyProtection="1">
      <alignment horizontal="right"/>
      <protection locked="0"/>
    </xf>
    <xf numFmtId="44" fontId="7" fillId="9" borderId="1" xfId="0" applyNumberFormat="1" applyFont="1" applyFill="1" applyBorder="1" applyAlignment="1">
      <alignment horizontal="right"/>
    </xf>
    <xf numFmtId="2" fontId="24" fillId="6" borderId="0" xfId="0" applyNumberFormat="1" applyFont="1" applyFill="1" applyAlignment="1">
      <alignment horizontal="left"/>
    </xf>
    <xf numFmtId="2" fontId="0" fillId="6" borderId="0" xfId="0" applyNumberFormat="1" applyFill="1" applyAlignment="1">
      <alignment horizontal="center"/>
    </xf>
    <xf numFmtId="1" fontId="0" fillId="6" borderId="0" xfId="0" applyNumberFormat="1" applyFill="1" applyAlignment="1">
      <alignment horizontal="center"/>
    </xf>
    <xf numFmtId="2" fontId="0" fillId="6" borderId="0" xfId="0" applyNumberFormat="1" applyFill="1" applyAlignment="1">
      <alignment horizontal="right"/>
    </xf>
    <xf numFmtId="2" fontId="24" fillId="0" borderId="0" xfId="0" applyNumberFormat="1" applyFont="1" applyAlignment="1">
      <alignment horizontal="left"/>
    </xf>
    <xf numFmtId="2" fontId="0" fillId="0" borderId="0" xfId="0" applyNumberFormat="1" applyAlignment="1" applyProtection="1">
      <alignment horizontal="right"/>
      <protection locked="0"/>
    </xf>
    <xf numFmtId="1" fontId="7" fillId="0" borderId="0" xfId="0" applyNumberFormat="1" applyFont="1" applyAlignment="1" applyProtection="1">
      <alignment horizontal="center"/>
      <protection locked="0"/>
    </xf>
    <xf numFmtId="2" fontId="7" fillId="0" borderId="0" xfId="0" applyNumberFormat="1" applyFont="1" applyAlignment="1" applyProtection="1">
      <alignment horizontal="center"/>
      <protection locked="0"/>
    </xf>
    <xf numFmtId="0" fontId="0" fillId="0" borderId="6" xfId="0" applyBorder="1" applyAlignment="1" applyProtection="1">
      <alignment horizontal="center"/>
      <protection locked="0"/>
    </xf>
    <xf numFmtId="2" fontId="0" fillId="0" borderId="6" xfId="0" applyNumberFormat="1" applyBorder="1" applyProtection="1">
      <protection locked="0"/>
    </xf>
    <xf numFmtId="0" fontId="0" fillId="6" borderId="0" xfId="0" applyFill="1" applyAlignment="1">
      <alignment horizontal="right"/>
    </xf>
    <xf numFmtId="3" fontId="0" fillId="6" borderId="0" xfId="0" applyNumberFormat="1" applyFill="1" applyAlignment="1" applyProtection="1">
      <alignment horizontal="center"/>
      <protection locked="0"/>
    </xf>
    <xf numFmtId="0" fontId="25" fillId="0" borderId="0" xfId="0" applyFont="1"/>
    <xf numFmtId="0" fontId="4" fillId="0" borderId="6" xfId="0" applyFont="1" applyBorder="1" applyAlignment="1">
      <alignment horizontal="center"/>
    </xf>
    <xf numFmtId="2" fontId="0" fillId="0" borderId="6" xfId="0" applyNumberFormat="1" applyBorder="1" applyAlignment="1" applyProtection="1">
      <alignment horizontal="right"/>
      <protection locked="0"/>
    </xf>
    <xf numFmtId="0" fontId="0" fillId="6" borderId="0" xfId="0" applyFill="1" applyAlignment="1" applyProtection="1">
      <alignment horizontal="center"/>
      <protection locked="0"/>
    </xf>
    <xf numFmtId="2" fontId="0" fillId="6" borderId="0" xfId="0" applyNumberFormat="1" applyFill="1" applyProtection="1">
      <protection locked="0"/>
    </xf>
    <xf numFmtId="2" fontId="0" fillId="6" borderId="1" xfId="0" applyNumberFormat="1" applyFill="1" applyBorder="1" applyAlignment="1">
      <alignment horizontal="right"/>
    </xf>
    <xf numFmtId="2" fontId="7" fillId="0" borderId="0" xfId="0" applyNumberFormat="1" applyFont="1" applyAlignment="1">
      <alignment horizontal="left"/>
    </xf>
    <xf numFmtId="44" fontId="7" fillId="0" borderId="0" xfId="0" applyNumberFormat="1" applyFont="1" applyAlignment="1">
      <alignment horizontal="right"/>
    </xf>
    <xf numFmtId="0" fontId="4" fillId="6" borderId="0" xfId="0" applyFont="1" applyFill="1" applyAlignment="1">
      <alignment horizontal="right"/>
    </xf>
    <xf numFmtId="0" fontId="7" fillId="0" borderId="0" xfId="0" applyFont="1" applyAlignment="1">
      <alignment horizontal="left"/>
    </xf>
    <xf numFmtId="0" fontId="7" fillId="0" borderId="7" xfId="0" applyFont="1" applyBorder="1" applyAlignment="1">
      <alignment horizontal="center"/>
    </xf>
    <xf numFmtId="2" fontId="7" fillId="0" borderId="0" xfId="0" applyNumberFormat="1" applyFont="1" applyAlignment="1">
      <alignment horizontal="right"/>
    </xf>
    <xf numFmtId="0" fontId="7" fillId="0" borderId="9" xfId="0" applyFont="1" applyBorder="1" applyAlignment="1">
      <alignment horizontal="left"/>
    </xf>
    <xf numFmtId="0" fontId="7" fillId="0" borderId="14" xfId="0" applyFont="1" applyBorder="1" applyAlignment="1">
      <alignment horizontal="center"/>
    </xf>
    <xf numFmtId="44" fontId="4" fillId="9" borderId="1" xfId="0" applyNumberFormat="1" applyFont="1" applyFill="1" applyBorder="1" applyAlignment="1">
      <alignment horizontal="center"/>
    </xf>
    <xf numFmtId="0" fontId="2" fillId="5" borderId="8" xfId="0" applyFont="1" applyFill="1" applyBorder="1"/>
    <xf numFmtId="0" fontId="2" fillId="5" borderId="6" xfId="0" applyFont="1" applyFill="1" applyBorder="1"/>
    <xf numFmtId="0" fontId="2" fillId="5" borderId="4" xfId="0" applyFont="1" applyFill="1" applyBorder="1"/>
    <xf numFmtId="0" fontId="4" fillId="0" borderId="1" xfId="0" applyFont="1" applyBorder="1" applyAlignment="1">
      <alignment horizontal="center"/>
    </xf>
    <xf numFmtId="44" fontId="7" fillId="0" borderId="0" xfId="0" applyNumberFormat="1" applyFont="1" applyAlignment="1" applyProtection="1">
      <alignment horizontal="right"/>
      <protection locked="0"/>
    </xf>
    <xf numFmtId="0" fontId="2" fillId="5" borderId="0" xfId="0" applyFont="1" applyFill="1"/>
    <xf numFmtId="0" fontId="2" fillId="5" borderId="5" xfId="0" applyFont="1" applyFill="1" applyBorder="1"/>
    <xf numFmtId="0" fontId="2" fillId="5" borderId="13" xfId="0" applyFont="1" applyFill="1" applyBorder="1"/>
    <xf numFmtId="1" fontId="4" fillId="0" borderId="0" xfId="0" applyNumberFormat="1" applyFont="1" applyAlignment="1" applyProtection="1">
      <alignment horizontal="center"/>
      <protection locked="0"/>
    </xf>
    <xf numFmtId="9" fontId="4" fillId="0" borderId="0" xfId="0" applyNumberFormat="1" applyFont="1" applyAlignment="1">
      <alignment horizontal="center"/>
    </xf>
    <xf numFmtId="2" fontId="0" fillId="9" borderId="1" xfId="0" applyNumberFormat="1" applyFill="1" applyBorder="1" applyAlignment="1">
      <alignment horizontal="right"/>
    </xf>
    <xf numFmtId="0" fontId="24" fillId="6" borderId="12" xfId="0" applyFont="1" applyFill="1" applyBorder="1" applyAlignment="1">
      <alignment horizontal="left"/>
    </xf>
    <xf numFmtId="2" fontId="0" fillId="6" borderId="12" xfId="0" applyNumberFormat="1" applyFill="1" applyBorder="1" applyAlignment="1">
      <alignment horizontal="right"/>
    </xf>
    <xf numFmtId="0" fontId="2" fillId="5" borderId="14" xfId="0" applyFont="1" applyFill="1" applyBorder="1"/>
    <xf numFmtId="0" fontId="2" fillId="5" borderId="7" xfId="0" applyFont="1" applyFill="1" applyBorder="1"/>
    <xf numFmtId="0" fontId="2" fillId="5" borderId="15" xfId="0" applyFont="1" applyFill="1" applyBorder="1"/>
    <xf numFmtId="0" fontId="4" fillId="0" borderId="12" xfId="0" applyFont="1" applyBorder="1" applyAlignment="1">
      <alignment horizontal="center"/>
    </xf>
    <xf numFmtId="44" fontId="0" fillId="6" borderId="9" xfId="0" applyNumberFormat="1" applyFill="1" applyBorder="1" applyAlignment="1">
      <alignment horizontal="right"/>
    </xf>
    <xf numFmtId="0" fontId="0" fillId="0" borderId="0" xfId="0" quotePrefix="1" applyAlignment="1">
      <alignment horizontal="center"/>
    </xf>
    <xf numFmtId="0" fontId="12" fillId="0" borderId="0" xfId="0" applyFont="1"/>
    <xf numFmtId="2" fontId="7" fillId="0" borderId="0" xfId="0" applyNumberFormat="1" applyFont="1" applyAlignment="1">
      <alignment horizontal="right" vertical="center"/>
    </xf>
    <xf numFmtId="2" fontId="0" fillId="0" borderId="0" xfId="0" applyNumberFormat="1" applyAlignment="1" applyProtection="1">
      <alignment horizontal="center"/>
      <protection locked="0"/>
    </xf>
    <xf numFmtId="44" fontId="7" fillId="9" borderId="1" xfId="0" applyNumberFormat="1" applyFont="1" applyFill="1" applyBorder="1" applyAlignment="1">
      <alignment horizontal="right" vertical="center"/>
    </xf>
    <xf numFmtId="0" fontId="0" fillId="2" borderId="1" xfId="0" quotePrefix="1" applyFill="1" applyBorder="1" applyAlignment="1">
      <alignment horizontal="center"/>
    </xf>
    <xf numFmtId="1" fontId="0" fillId="2" borderId="2" xfId="0" applyNumberFormat="1" applyFill="1" applyBorder="1" applyAlignment="1">
      <alignment horizontal="center"/>
    </xf>
    <xf numFmtId="1" fontId="7" fillId="3" borderId="1" xfId="0" applyNumberFormat="1" applyFont="1" applyFill="1" applyBorder="1" applyAlignment="1">
      <alignment horizontal="center"/>
    </xf>
    <xf numFmtId="0" fontId="7" fillId="10" borderId="2" xfId="0" applyFont="1" applyFill="1" applyBorder="1" applyAlignment="1">
      <alignment horizontal="center"/>
    </xf>
    <xf numFmtId="0" fontId="0" fillId="10" borderId="10" xfId="0" applyFill="1" applyBorder="1" applyAlignment="1">
      <alignment horizontal="center"/>
    </xf>
    <xf numFmtId="0" fontId="0" fillId="10" borderId="1" xfId="0" applyFill="1" applyBorder="1" applyAlignment="1">
      <alignment horizontal="center"/>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9" fontId="0" fillId="4" borderId="1" xfId="0" applyNumberFormat="1" applyFill="1" applyBorder="1" applyProtection="1">
      <protection locked="0"/>
    </xf>
    <xf numFmtId="0" fontId="32" fillId="0" borderId="0" xfId="0" applyFont="1" applyAlignment="1">
      <alignment vertical="center"/>
    </xf>
    <xf numFmtId="0" fontId="5" fillId="0" borderId="0" xfId="1" applyAlignment="1" applyProtection="1">
      <alignment vertical="center"/>
    </xf>
    <xf numFmtId="44" fontId="0" fillId="9" borderId="1" xfId="0" applyNumberFormat="1" applyFill="1" applyBorder="1" applyAlignment="1" applyProtection="1">
      <alignment horizontal="center"/>
    </xf>
    <xf numFmtId="165" fontId="7" fillId="0" borderId="6" xfId="0" applyNumberFormat="1" applyFont="1" applyFill="1" applyBorder="1" applyAlignment="1" applyProtection="1">
      <alignment horizontal="center"/>
      <protection locked="0"/>
    </xf>
    <xf numFmtId="44" fontId="7" fillId="0" borderId="6" xfId="0" applyNumberFormat="1" applyFont="1" applyFill="1" applyBorder="1" applyAlignment="1" applyProtection="1">
      <alignment horizontal="center"/>
      <protection locked="0"/>
    </xf>
    <xf numFmtId="44" fontId="0" fillId="0" borderId="0" xfId="0" applyNumberFormat="1" applyFill="1" applyBorder="1" applyAlignment="1" applyProtection="1">
      <alignment horizontal="center"/>
      <protection locked="0"/>
    </xf>
    <xf numFmtId="44" fontId="0" fillId="9" borderId="1" xfId="0" applyNumberFormat="1" applyFill="1" applyBorder="1" applyAlignment="1">
      <alignment horizontal="center"/>
    </xf>
    <xf numFmtId="44" fontId="7" fillId="0" borderId="0" xfId="0" applyNumberFormat="1" applyFont="1" applyFill="1" applyBorder="1" applyAlignment="1">
      <alignment horizontal="center"/>
    </xf>
    <xf numFmtId="165" fontId="7" fillId="0" borderId="0" xfId="0" applyNumberFormat="1" applyFont="1" applyFill="1" applyBorder="1" applyAlignment="1" applyProtection="1">
      <alignment horizontal="center"/>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lignment horizontal="center"/>
    </xf>
    <xf numFmtId="2" fontId="0" fillId="12" borderId="10" xfId="0" applyNumberFormat="1" applyFill="1" applyBorder="1" applyAlignment="1" applyProtection="1">
      <alignment horizontal="center"/>
      <protection locked="0"/>
    </xf>
    <xf numFmtId="10" fontId="0" fillId="4" borderId="1" xfId="0" applyNumberFormat="1" applyFill="1" applyBorder="1" applyProtection="1">
      <protection locked="0"/>
    </xf>
    <xf numFmtId="0" fontId="33" fillId="5" borderId="5" xfId="0" applyFont="1" applyFill="1" applyBorder="1"/>
    <xf numFmtId="0" fontId="1" fillId="5" borderId="0" xfId="0" applyFont="1" applyFill="1"/>
    <xf numFmtId="0" fontId="33" fillId="5" borderId="6" xfId="0" applyFont="1" applyFill="1" applyBorder="1"/>
    <xf numFmtId="0" fontId="33" fillId="5" borderId="4" xfId="0" applyFont="1" applyFill="1" applyBorder="1"/>
    <xf numFmtId="0" fontId="1" fillId="5" borderId="5" xfId="0" applyFont="1" applyFill="1" applyBorder="1"/>
    <xf numFmtId="0" fontId="3" fillId="5" borderId="0" xfId="0" applyFont="1" applyFill="1" applyBorder="1"/>
    <xf numFmtId="0" fontId="1" fillId="5" borderId="0" xfId="0" applyFont="1" applyFill="1" applyBorder="1"/>
    <xf numFmtId="0" fontId="0" fillId="5" borderId="0" xfId="0" applyFill="1"/>
    <xf numFmtId="0" fontId="0" fillId="5" borderId="7" xfId="0" applyFill="1" applyBorder="1"/>
    <xf numFmtId="0" fontId="0" fillId="5" borderId="13" xfId="0" applyFill="1" applyBorder="1"/>
    <xf numFmtId="0" fontId="0" fillId="5" borderId="15" xfId="0" applyFill="1" applyBorder="1"/>
    <xf numFmtId="0" fontId="1" fillId="5" borderId="14" xfId="0" applyFont="1" applyFill="1" applyBorder="1"/>
    <xf numFmtId="0" fontId="1" fillId="0" borderId="0" xfId="0" applyFont="1" applyFill="1" applyBorder="1"/>
    <xf numFmtId="0" fontId="1" fillId="0" borderId="2" xfId="0" applyFont="1" applyFill="1" applyBorder="1"/>
    <xf numFmtId="0" fontId="34" fillId="0" borderId="0" xfId="0" applyFont="1" applyAlignment="1">
      <alignment vertical="center"/>
    </xf>
    <xf numFmtId="14" fontId="0" fillId="0" borderId="0" xfId="0" applyNumberFormat="1"/>
    <xf numFmtId="0" fontId="22" fillId="12" borderId="2" xfId="0" applyFont="1" applyFill="1" applyBorder="1" applyProtection="1">
      <protection locked="0"/>
    </xf>
    <xf numFmtId="0" fontId="7" fillId="3" borderId="2" xfId="0" applyFon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2" borderId="2" xfId="0" applyFont="1" applyFill="1" applyBorder="1" applyAlignment="1" applyProtection="1">
      <alignment horizontal="center"/>
    </xf>
    <xf numFmtId="0" fontId="7" fillId="2" borderId="10" xfId="0" applyFont="1" applyFill="1" applyBorder="1" applyAlignment="1" applyProtection="1">
      <alignment horizontal="center"/>
    </xf>
    <xf numFmtId="0" fontId="7" fillId="3" borderId="2" xfId="0" applyFont="1" applyFill="1" applyBorder="1" applyAlignment="1" applyProtection="1">
      <alignment horizontal="center"/>
    </xf>
    <xf numFmtId="0" fontId="7" fillId="3" borderId="8" xfId="0" applyFont="1" applyFill="1" applyBorder="1" applyAlignment="1" applyProtection="1">
      <alignment horizontal="center"/>
    </xf>
    <xf numFmtId="0" fontId="7" fillId="3" borderId="10" xfId="0" applyFont="1" applyFill="1" applyBorder="1" applyAlignment="1" applyProtection="1">
      <alignment horizontal="center"/>
    </xf>
    <xf numFmtId="0" fontId="7" fillId="2" borderId="2" xfId="0" applyFont="1" applyFill="1" applyBorder="1" applyAlignment="1">
      <alignment horizontal="center"/>
    </xf>
    <xf numFmtId="0" fontId="7" fillId="2" borderId="10"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0F090"/>
      <color rgb="FF99CCFF"/>
      <color rgb="FFFFCCFF"/>
      <color rgb="FFFF99FF"/>
      <color rgb="FFFF66CC"/>
      <color rgb="FFFF3399"/>
      <color rgb="FFE1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3152775</xdr:colOff>
      <xdr:row>1</xdr:row>
      <xdr:rowOff>9525</xdr:rowOff>
    </xdr:from>
    <xdr:to>
      <xdr:col>0</xdr:col>
      <xdr:colOff>3714750</xdr:colOff>
      <xdr:row>1</xdr:row>
      <xdr:rowOff>209550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52775" y="342900"/>
          <a:ext cx="561975" cy="200025"/>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3162300</xdr:colOff>
      <xdr:row>2</xdr:row>
      <xdr:rowOff>9525</xdr:rowOff>
    </xdr:from>
    <xdr:to>
      <xdr:col>0</xdr:col>
      <xdr:colOff>3724275</xdr:colOff>
      <xdr:row>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62300" y="561975"/>
          <a:ext cx="561975" cy="209550"/>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effectLst/>
              <a:latin typeface="Arial"/>
            </a:rPr>
            <a:t>  </a:t>
          </a:r>
          <a:r>
            <a:rPr lang="en-US"/>
            <a:t>  </a:t>
          </a:r>
          <a:endParaRPr lang="en-US" sz="1100"/>
        </a:p>
      </xdr:txBody>
    </xdr:sp>
    <xdr:clientData/>
  </xdr:twoCellAnchor>
  <xdr:twoCellAnchor editAs="oneCell">
    <xdr:from>
      <xdr:col>7</xdr:col>
      <xdr:colOff>424295</xdr:colOff>
      <xdr:row>0</xdr:row>
      <xdr:rowOff>0</xdr:rowOff>
    </xdr:from>
    <xdr:to>
      <xdr:col>16</xdr:col>
      <xdr:colOff>334240</xdr:colOff>
      <xdr:row>3</xdr:row>
      <xdr:rowOff>15537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1931" y="0"/>
          <a:ext cx="5105400" cy="786196"/>
        </a:xfrm>
        <a:prstGeom prst="rect">
          <a:avLst/>
        </a:prstGeom>
      </xdr:spPr>
    </xdr:pic>
    <xdr:clientData/>
  </xdr:twoCellAnchor>
  <xdr:twoCellAnchor>
    <xdr:from>
      <xdr:col>0</xdr:col>
      <xdr:colOff>69850</xdr:colOff>
      <xdr:row>3</xdr:row>
      <xdr:rowOff>146050</xdr:rowOff>
    </xdr:from>
    <xdr:to>
      <xdr:col>13</xdr:col>
      <xdr:colOff>242455</xdr:colOff>
      <xdr:row>30</xdr:row>
      <xdr:rowOff>8659</xdr:rowOff>
    </xdr:to>
    <xdr:sp macro="" textlink="">
      <xdr:nvSpPr>
        <xdr:cNvPr id="6" name="TextBox 5">
          <a:extLst>
            <a:ext uri="{FF2B5EF4-FFF2-40B4-BE49-F238E27FC236}">
              <a16:creationId xmlns:a16="http://schemas.microsoft.com/office/drawing/2014/main" id="{DE3DFEE6-6B54-4E17-A92E-DEB879DECC78}"/>
            </a:ext>
          </a:extLst>
        </xdr:cNvPr>
        <xdr:cNvSpPr txBox="1"/>
      </xdr:nvSpPr>
      <xdr:spPr>
        <a:xfrm>
          <a:off x="69850" y="916709"/>
          <a:ext cx="7827241" cy="49022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UW Extension Crop Enterprise Budget Spreadsheet tool is a set of ten different sheets.  See the tabs along the bottom of the Excel window.  The first sheet is a Fertilizer Cost Calculator that helps users calculate fertilizer costs on a per pound of nutrient basis and costs for fertilizer additives like nitrification and urease inhibitors on a per acre basis.  The remaining nine sheets are example budgets for commonly grown crops in Wisconsin.  They include corn, corn silage, soybeans, small grains, seeding year haylage, established crop haylage, seeding year dry hay, established hay, and annual forage crops.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 sheets are set up to be reasonably intuitive and do many of the calculations for the user to minimize the need for a calculator, pad of paper and pencil during their use. There are yellow boxes with directions and helpful hints along the right side of each enterprise budget to assist users enter in their data.</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Users will find the inputs in several sections the same across the different crop example sheets for familiarity even though some types of inputs will not be used for some of the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field operations (machinery) section is set up to include all costs associated with an operation in one line rather than break out depreciation, repairs, fuel, operator etc. into individual costs.  There are several resources listed in the help box by that section to assist users with determining those costs.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budgets are set up to provide a reasonable amount of flexibility.  Specifically in the forage budgets, different harvest costs may be entered on a per acre, per hour, per bale or per ton cost basis.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It is necessary to use careful consideration to accurately account for the harvest costs without missing or double counting expenses by unintentionally entering the cost in more than one place.  Some operations may be used on some cuttings, but not all cuttings.  For example, in a 3-cutting example, two of the cuttings may be chopped and a third cutting made into big bale silage.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When entering it will be necessary to provide a reasonable estimate on the number of bales per acre per year and number of tons per acre per year because multiple harvesting methods could be used, such as in the example given earlier in this paragraph.</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Examples for each crop are included on the sheets. It is important for users to enter in their own numbers.  All blue cells are editable by the user.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504299C9-6895-4D03-B12E-18F47E97F9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4C1F8C98-A381-43A4-B4AC-B84A0CBE9C58}"/>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14288</xdr:rowOff>
    </xdr:to>
    <xdr:sp macro="" textlink="">
      <xdr:nvSpPr>
        <xdr:cNvPr id="4" name="TextBox 3">
          <a:extLst>
            <a:ext uri="{FF2B5EF4-FFF2-40B4-BE49-F238E27FC236}">
              <a16:creationId xmlns:a16="http://schemas.microsoft.com/office/drawing/2014/main" id="{B2145ED6-3963-4694-A89B-6EE2B992D73B}"/>
            </a:ext>
          </a:extLst>
        </xdr:cNvPr>
        <xdr:cNvSpPr txBox="1"/>
      </xdr:nvSpPr>
      <xdr:spPr>
        <a:xfrm>
          <a:off x="7848599" y="10267950"/>
          <a:ext cx="5910264" cy="19192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If you want to pro-rate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a:t>
          </a:r>
        </a:p>
        <a:p>
          <a:endParaRPr lang="en-US">
            <a:effectLst/>
          </a:endParaRPr>
        </a:p>
        <a:p>
          <a:r>
            <a:rPr lang="en-US" sz="1100" b="1" baseline="0">
              <a:solidFill>
                <a:schemeClr val="dk1"/>
              </a:solidFill>
              <a:effectLst/>
              <a:latin typeface="+mn-lt"/>
              <a:ea typeface="+mn-ea"/>
              <a:cs typeface="+mn-cs"/>
            </a:rPr>
            <a:t>If you are crediting all seed costs to the seeding year, do not enter any seed costs into these established year budgets.</a:t>
          </a:r>
        </a:p>
        <a:p>
          <a:endParaRPr lang="en-US">
            <a:effectLst/>
          </a:endParaRPr>
        </a:p>
        <a:p>
          <a:r>
            <a:rPr lang="en-US" sz="1100" b="0" baseline="0">
              <a:solidFill>
                <a:schemeClr val="dk1"/>
              </a:solidFill>
              <a:effectLst/>
              <a:latin typeface="+mn-lt"/>
              <a:ea typeface="+mn-ea"/>
              <a:cs typeface="+mn-cs"/>
            </a:rPr>
            <a:t>Then enter in the perennial seed costs and seeding rates for the stand.</a:t>
          </a:r>
        </a:p>
        <a:p>
          <a:endParaRPr lang="en-US">
            <a:effectLst/>
          </a:endParaRPr>
        </a:p>
        <a:p>
          <a:r>
            <a:rPr lang="en-US" sz="1100" b="0" i="0"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FEDBEB96-3B08-4E4F-823C-364AEBE8F5C4}"/>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63B7E387-FC38-481C-A0DB-2F910AA26EBF}"/>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675BEC13-F217-4ACB-BF3D-2512D7D957FB}"/>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1834A766-1C3B-4161-A6CA-C8C1D6F4A419}"/>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172</xdr:row>
      <xdr:rowOff>44450</xdr:rowOff>
    </xdr:from>
    <xdr:to>
      <xdr:col>17</xdr:col>
      <xdr:colOff>293687</xdr:colOff>
      <xdr:row>175</xdr:row>
      <xdr:rowOff>68262</xdr:rowOff>
    </xdr:to>
    <xdr:sp macro="" textlink="">
      <xdr:nvSpPr>
        <xdr:cNvPr id="9" name="TextBox 8">
          <a:extLst>
            <a:ext uri="{FF2B5EF4-FFF2-40B4-BE49-F238E27FC236}">
              <a16:creationId xmlns:a16="http://schemas.microsoft.com/office/drawing/2014/main" id="{EC9A1283-44B8-498B-B4E4-6E9082CCB49C}"/>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828676</xdr:colOff>
      <xdr:row>176</xdr:row>
      <xdr:rowOff>41565</xdr:rowOff>
    </xdr:from>
    <xdr:to>
      <xdr:col>17</xdr:col>
      <xdr:colOff>352425</xdr:colOff>
      <xdr:row>177</xdr:row>
      <xdr:rowOff>142875</xdr:rowOff>
    </xdr:to>
    <xdr:sp macro="" textlink="">
      <xdr:nvSpPr>
        <xdr:cNvPr id="10" name="TextBox 9">
          <a:extLst>
            <a:ext uri="{FF2B5EF4-FFF2-40B4-BE49-F238E27FC236}">
              <a16:creationId xmlns:a16="http://schemas.microsoft.com/office/drawing/2014/main" id="{70400F35-0CCB-4F3A-9DAD-E202EDE1FB4A}"/>
            </a:ext>
          </a:extLst>
        </xdr:cNvPr>
        <xdr:cNvSpPr txBox="1"/>
      </xdr:nvSpPr>
      <xdr:spPr>
        <a:xfrm>
          <a:off x="7210426" y="29111865"/>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149</xdr:row>
      <xdr:rowOff>19050</xdr:rowOff>
    </xdr:from>
    <xdr:to>
      <xdr:col>20</xdr:col>
      <xdr:colOff>57150</xdr:colOff>
      <xdr:row>166</xdr:row>
      <xdr:rowOff>142875</xdr:rowOff>
    </xdr:to>
    <xdr:sp macro="" textlink="">
      <xdr:nvSpPr>
        <xdr:cNvPr id="11" name="TextBox 10">
          <a:extLst>
            <a:ext uri="{FF2B5EF4-FFF2-40B4-BE49-F238E27FC236}">
              <a16:creationId xmlns:a16="http://schemas.microsoft.com/office/drawing/2014/main" id="{6D20E3D2-21B7-474A-83BD-1A6E69242942}"/>
            </a:ext>
          </a:extLst>
        </xdr:cNvPr>
        <xdr:cNvSpPr txBox="1"/>
      </xdr:nvSpPr>
      <xdr:spPr>
        <a:xfrm>
          <a:off x="7296150" y="24717375"/>
          <a:ext cx="7620000" cy="28765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18CB5FB6-441A-4084-AD76-DC59DCC8816D}"/>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DC3B3CB5-4716-4F02-9D1E-B2049A46735E}"/>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430770</xdr:colOff>
      <xdr:row>4</xdr:row>
      <xdr:rowOff>1208</xdr:rowOff>
    </xdr:to>
    <xdr:pic>
      <xdr:nvPicPr>
        <xdr:cNvPr id="2" name="Picture 1">
          <a:extLst>
            <a:ext uri="{FF2B5EF4-FFF2-40B4-BE49-F238E27FC236}">
              <a16:creationId xmlns:a16="http://schemas.microsoft.com/office/drawing/2014/main" id="{7275A5EF-7694-4E2C-9787-54D6551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5019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5249DAC7-91CB-4C3C-B928-B81FC9F0D6E2}"/>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38099</xdr:colOff>
      <xdr:row>64</xdr:row>
      <xdr:rowOff>9525</xdr:rowOff>
    </xdr:from>
    <xdr:to>
      <xdr:col>16</xdr:col>
      <xdr:colOff>266700</xdr:colOff>
      <xdr:row>66</xdr:row>
      <xdr:rowOff>157163</xdr:rowOff>
    </xdr:to>
    <xdr:sp macro="" textlink="">
      <xdr:nvSpPr>
        <xdr:cNvPr id="4" name="TextBox 3">
          <a:extLst>
            <a:ext uri="{FF2B5EF4-FFF2-40B4-BE49-F238E27FC236}">
              <a16:creationId xmlns:a16="http://schemas.microsoft.com/office/drawing/2014/main" id="{4319BA7A-B798-4582-B05E-9EEB79207C7C}"/>
            </a:ext>
          </a:extLst>
        </xdr:cNvPr>
        <xdr:cNvSpPr txBox="1"/>
      </xdr:nvSpPr>
      <xdr:spPr>
        <a:xfrm>
          <a:off x="7829549" y="10877550"/>
          <a:ext cx="5910264" cy="47148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is an annual forage crop budget and all seed costs are credited</a:t>
          </a:r>
          <a:r>
            <a:rPr lang="en-US" sz="1100" b="1" baseline="0"/>
            <a:t> to this crop budget.</a:t>
          </a:r>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42641964-CB87-4683-99DD-EACB565F562D}"/>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A51742AC-3ABB-406F-A9CD-B746B84AF6ED}"/>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002864A2-114E-4592-A015-2B7E19AD04FA}"/>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A61F30E5-FE25-4C14-82F2-485ACBFAC2C2}"/>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48CCFD99-5D1C-4B25-92F7-3524C9758ABB}"/>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0DB010C8-30EE-4D53-BFAB-8762891DD3A0}"/>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0</xdr:colOff>
      <xdr:row>149</xdr:row>
      <xdr:rowOff>19050</xdr:rowOff>
    </xdr:from>
    <xdr:to>
      <xdr:col>20</xdr:col>
      <xdr:colOff>38100</xdr:colOff>
      <xdr:row>170</xdr:row>
      <xdr:rowOff>142875</xdr:rowOff>
    </xdr:to>
    <xdr:sp macro="" textlink="">
      <xdr:nvSpPr>
        <xdr:cNvPr id="11" name="TextBox 10">
          <a:extLst>
            <a:ext uri="{FF2B5EF4-FFF2-40B4-BE49-F238E27FC236}">
              <a16:creationId xmlns:a16="http://schemas.microsoft.com/office/drawing/2014/main" id="{1D792A48-387F-4F7C-9DBD-0BFA30747159}"/>
            </a:ext>
          </a:extLst>
        </xdr:cNvPr>
        <xdr:cNvSpPr txBox="1"/>
      </xdr:nvSpPr>
      <xdr:spPr>
        <a:xfrm>
          <a:off x="7277100" y="24717375"/>
          <a:ext cx="7620000" cy="3524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40%	35%</a:t>
          </a:r>
        </a:p>
        <a:p>
          <a:r>
            <a:rPr lang="en-US" sz="1100" u="none" baseline="0"/>
            <a:t>2nd	30%	25%</a:t>
          </a:r>
        </a:p>
        <a:p>
          <a:r>
            <a:rPr lang="en-US" sz="1100" u="none" baseline="0"/>
            <a:t>3rd	30%	20%</a:t>
          </a:r>
        </a:p>
        <a:p>
          <a:r>
            <a:rPr lang="en-US" sz="1100" u="none" baseline="0"/>
            <a:t>4th		20%</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7277F01F-2E83-43A8-9A0D-93A39049C095}"/>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FC95DCD9-FB30-4E20-A7BD-E5EDA3FCE73C}"/>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812063</xdr:colOff>
      <xdr:row>4</xdr:row>
      <xdr:rowOff>117781</xdr:rowOff>
    </xdr:to>
    <xdr:pic>
      <xdr:nvPicPr>
        <xdr:cNvPr id="5" name="Picture 4">
          <a:extLst>
            <a:ext uri="{FF2B5EF4-FFF2-40B4-BE49-F238E27FC236}">
              <a16:creationId xmlns:a16="http://schemas.microsoft.com/office/drawing/2014/main" id="{B2665E44-469F-4946-A5B9-E3A0DB960C53}"/>
            </a:ext>
          </a:extLst>
        </xdr:cNvPr>
        <xdr:cNvPicPr>
          <a:picLocks noChangeAspect="1"/>
        </xdr:cNvPicPr>
      </xdr:nvPicPr>
      <xdr:blipFill>
        <a:blip xmlns:r="http://schemas.openxmlformats.org/officeDocument/2006/relationships" r:embed="rId1"/>
        <a:stretch>
          <a:fillRect/>
        </a:stretch>
      </xdr:blipFill>
      <xdr:spPr>
        <a:xfrm>
          <a:off x="609600" y="161925"/>
          <a:ext cx="3950550" cy="603556"/>
        </a:xfrm>
        <a:prstGeom prst="rect">
          <a:avLst/>
        </a:prstGeom>
      </xdr:spPr>
    </xdr:pic>
    <xdr:clientData/>
  </xdr:twoCellAnchor>
  <xdr:twoCellAnchor>
    <xdr:from>
      <xdr:col>9</xdr:col>
      <xdr:colOff>47625</xdr:colOff>
      <xdr:row>10</xdr:row>
      <xdr:rowOff>60324</xdr:rowOff>
    </xdr:from>
    <xdr:to>
      <xdr:col>16</xdr:col>
      <xdr:colOff>76200</xdr:colOff>
      <xdr:row>26</xdr:row>
      <xdr:rowOff>34636</xdr:rowOff>
    </xdr:to>
    <xdr:sp macro="" textlink="">
      <xdr:nvSpPr>
        <xdr:cNvPr id="2" name="TextBox 1">
          <a:extLst>
            <a:ext uri="{FF2B5EF4-FFF2-40B4-BE49-F238E27FC236}">
              <a16:creationId xmlns:a16="http://schemas.microsoft.com/office/drawing/2014/main" id="{731BF181-FECB-41E8-BFCF-82E5E5300847}"/>
            </a:ext>
          </a:extLst>
        </xdr:cNvPr>
        <xdr:cNvSpPr txBox="1"/>
      </xdr:nvSpPr>
      <xdr:spPr>
        <a:xfrm>
          <a:off x="6931602" y="1766165"/>
          <a:ext cx="4271530" cy="26066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is for determining various fertilizer</a:t>
          </a:r>
          <a:r>
            <a:rPr lang="en-US" sz="1100" baseline="0"/>
            <a:t> costs for use in the crop enterprise budgets.  It is not a nutrient management plan tool for determining the quantity of different nutrients to apply.  </a:t>
          </a:r>
        </a:p>
        <a:p>
          <a:endParaRPr lang="en-US" sz="1100" baseline="0"/>
        </a:p>
        <a:p>
          <a:r>
            <a:rPr lang="en-US" sz="1100" baseline="0"/>
            <a:t>Users should enter their specific information into the blue cells and the values in the pink cells are calculated for them.  This information can then be entered into the various crop enterprise budgets for completing the fertilizer input costs sections.</a:t>
          </a:r>
        </a:p>
        <a:p>
          <a:endParaRPr lang="en-US" sz="1100" baseline="0"/>
        </a:p>
        <a:p>
          <a:r>
            <a:rPr lang="en-US" sz="1100" baseline="0"/>
            <a:t>The section at the bottom is designed to assist users calculate an annual soil testing cost and nutrient management plan cost per acre per year.</a:t>
          </a:r>
        </a:p>
        <a:p>
          <a:endParaRPr lang="en-US" sz="1100" baseline="0"/>
        </a:p>
        <a:p>
          <a:r>
            <a:rPr lang="en-US" sz="1100" baseline="0"/>
            <a:t>For assistance determining nutrient rates see the resource below:</a:t>
          </a:r>
          <a:endParaRPr lang="en-US" sz="1100"/>
        </a:p>
      </xdr:txBody>
    </xdr:sp>
    <xdr:clientData/>
  </xdr:twoCellAnchor>
  <xdr:twoCellAnchor>
    <xdr:from>
      <xdr:col>11</xdr:col>
      <xdr:colOff>254000</xdr:colOff>
      <xdr:row>38</xdr:row>
      <xdr:rowOff>222251</xdr:rowOff>
    </xdr:from>
    <xdr:to>
      <xdr:col>16</xdr:col>
      <xdr:colOff>246063</xdr:colOff>
      <xdr:row>44</xdr:row>
      <xdr:rowOff>55563</xdr:rowOff>
    </xdr:to>
    <xdr:sp macro="" textlink="">
      <xdr:nvSpPr>
        <xdr:cNvPr id="3" name="TextBox 2">
          <a:extLst>
            <a:ext uri="{FF2B5EF4-FFF2-40B4-BE49-F238E27FC236}">
              <a16:creationId xmlns:a16="http://schemas.microsoft.com/office/drawing/2014/main" id="{B8CD4BA1-5BAF-4FA5-BCE5-FC61CEF7E43A}"/>
            </a:ext>
          </a:extLst>
        </xdr:cNvPr>
        <xdr:cNvSpPr txBox="1"/>
      </xdr:nvSpPr>
      <xdr:spPr>
        <a:xfrm>
          <a:off x="7961313" y="6969126"/>
          <a:ext cx="3048000" cy="960437"/>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Nitrogen from nitrogen</a:t>
          </a:r>
          <a:r>
            <a:rPr lang="en-US" sz="1100" baseline="0"/>
            <a:t> containing phosphous fertilizers should be counted in both cost and amount of N applied.</a:t>
          </a:r>
          <a:endParaRPr lang="en-US" sz="1100"/>
        </a:p>
      </xdr:txBody>
    </xdr:sp>
    <xdr:clientData/>
  </xdr:twoCellAnchor>
  <xdr:oneCellAnchor>
    <xdr:from>
      <xdr:col>1</xdr:col>
      <xdr:colOff>47626</xdr:colOff>
      <xdr:row>11</xdr:row>
      <xdr:rowOff>95249</xdr:rowOff>
    </xdr:from>
    <xdr:ext cx="4663136" cy="264560"/>
    <xdr:sp macro="" textlink="">
      <xdr:nvSpPr>
        <xdr:cNvPr id="4" name="TextBox 3">
          <a:extLst>
            <a:ext uri="{FF2B5EF4-FFF2-40B4-BE49-F238E27FC236}">
              <a16:creationId xmlns:a16="http://schemas.microsoft.com/office/drawing/2014/main" id="{03D26FDD-A33E-472E-97AE-D875968B7704}"/>
            </a:ext>
          </a:extLst>
        </xdr:cNvPr>
        <xdr:cNvSpPr txBox="1"/>
      </xdr:nvSpPr>
      <xdr:spPr>
        <a:xfrm>
          <a:off x="254001" y="1912937"/>
          <a:ext cx="4663136" cy="26456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Entering</a:t>
          </a:r>
          <a:r>
            <a:rPr lang="en-US" sz="1100" baseline="0"/>
            <a:t> fertilizer on a per pound of product basis is done in the crop budgets.</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397432</xdr:colOff>
      <xdr:row>4</xdr:row>
      <xdr:rowOff>29783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41989" cy="587676"/>
        </a:xfrm>
        <a:prstGeom prst="rect">
          <a:avLst/>
        </a:prstGeom>
      </xdr:spPr>
    </xdr:pic>
    <xdr:clientData/>
  </xdr:twoCellAnchor>
  <xdr:oneCellAnchor>
    <xdr:from>
      <xdr:col>7</xdr:col>
      <xdr:colOff>57150</xdr:colOff>
      <xdr:row>17</xdr:row>
      <xdr:rowOff>19046</xdr:rowOff>
    </xdr:from>
    <xdr:ext cx="5143500" cy="5705480"/>
    <xdr:sp macro="" textlink="">
      <xdr:nvSpPr>
        <xdr:cNvPr id="3" name="TextBox 2">
          <a:extLst>
            <a:ext uri="{FF2B5EF4-FFF2-40B4-BE49-F238E27FC236}">
              <a16:creationId xmlns:a16="http://schemas.microsoft.com/office/drawing/2014/main" id="{48C0BF36-4FCA-4B19-A7AE-B3853F26AD18}"/>
            </a:ext>
          </a:extLst>
        </xdr:cNvPr>
        <xdr:cNvSpPr txBox="1"/>
      </xdr:nvSpPr>
      <xdr:spPr>
        <a:xfrm>
          <a:off x="6800850" y="2543171"/>
          <a:ext cx="5143500" cy="570548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Arial" panose="020B0604020202020204" pitchFamily="34" charset="0"/>
              <a:ea typeface="+mn-ea"/>
              <a:cs typeface="Arial" panose="020B0604020202020204" pitchFamily="34" charset="0"/>
            </a:rPr>
            <a:t>The fertilizer section is for determining costs, it is not a nutrient management planning tool.</a:t>
          </a:r>
        </a:p>
        <a:p>
          <a:r>
            <a:rPr lang="en-US" sz="1000">
              <a:solidFill>
                <a:schemeClr val="tx1"/>
              </a:solidFill>
              <a:effectLst/>
              <a:latin typeface="Arial" panose="020B0604020202020204" pitchFamily="34" charset="0"/>
              <a:ea typeface="+mn-ea"/>
              <a:cs typeface="Arial" panose="020B0604020202020204" pitchFamily="34" charset="0"/>
            </a:rPr>
            <a:t> Some fertilizer input options in the budget will not be utilized for some crops.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 Use the N cost calculator in the P fertilizer section, (cell I47), on the Fertilizer Cost Calculator sheet to determine the cost for cell E37 on this page.</a:t>
          </a:r>
        </a:p>
        <a:p>
          <a:r>
            <a:rPr lang="en-US" sz="1000">
              <a:solidFill>
                <a:schemeClr val="tx1"/>
              </a:solidFill>
              <a:effectLst/>
              <a:latin typeface="Arial" panose="020B0604020202020204" pitchFamily="34" charset="0"/>
              <a:ea typeface="+mn-ea"/>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Other fertilizer line can be used for micronutrients, or a combination of inputs not accounted for in the other fertilizer expense categories in the budget.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Include Custom hired Fertilizer Application Costs if it is not already included in the cost of the fertilizer entered in other locations in the budget sheet.</a:t>
          </a:r>
        </a:p>
        <a:p>
          <a:endParaRPr lang="en-US" sz="1000">
            <a:solidFill>
              <a:schemeClr val="tx1"/>
            </a:solidFill>
            <a:effectLst/>
            <a:latin typeface="Arial" panose="020B0604020202020204" pitchFamily="34" charset="0"/>
            <a:ea typeface="+mn-ea"/>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9525</xdr:rowOff>
    </xdr:to>
    <xdr:sp macro="" textlink="">
      <xdr:nvSpPr>
        <xdr:cNvPr id="4" name="TextBox 3">
          <a:extLst>
            <a:ext uri="{FF2B5EF4-FFF2-40B4-BE49-F238E27FC236}">
              <a16:creationId xmlns:a16="http://schemas.microsoft.com/office/drawing/2014/main" id="{05A1A855-0B19-457F-BE22-64A54EBCAB96}"/>
            </a:ext>
          </a:extLst>
        </xdr:cNvPr>
        <xdr:cNvSpPr txBox="1"/>
      </xdr:nvSpPr>
      <xdr:spPr>
        <a:xfrm>
          <a:off x="6800849" y="9648824"/>
          <a:ext cx="5181601" cy="76200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Enter</a:t>
          </a:r>
          <a:r>
            <a:rPr lang="en-US" sz="1000" baseline="0">
              <a:latin typeface="Arial" panose="020B0604020202020204" pitchFamily="34" charset="0"/>
              <a:cs typeface="Arial" panose="020B0604020202020204" pitchFamily="34" charset="0"/>
            </a:rPr>
            <a:t> price per 80,000 kernels, 80,000 kernels is the standard number of kernels in a traditional "bag" of seed.</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Cover crop seed should be the cover crop planted before this crop.</a:t>
          </a:r>
          <a:endParaRPr lang="en-US" sz="1000">
            <a:latin typeface="Arial" panose="020B0604020202020204" pitchFamily="34" charset="0"/>
            <a:cs typeface="Arial" panose="020B0604020202020204" pitchFamily="34" charset="0"/>
          </a:endParaRPr>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75B5C886-3982-4C95-BF5F-20AE78EE973A}"/>
            </a:ext>
          </a:extLst>
        </xdr:cNvPr>
        <xdr:cNvSpPr txBox="1"/>
      </xdr:nvSpPr>
      <xdr:spPr>
        <a:xfrm>
          <a:off x="10639425"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1</xdr:rowOff>
    </xdr:from>
    <xdr:to>
      <xdr:col>16</xdr:col>
      <xdr:colOff>333375</xdr:colOff>
      <xdr:row>84</xdr:row>
      <xdr:rowOff>104775</xdr:rowOff>
    </xdr:to>
    <xdr:sp macro="" textlink="">
      <xdr:nvSpPr>
        <xdr:cNvPr id="6" name="TextBox 5">
          <a:extLst>
            <a:ext uri="{FF2B5EF4-FFF2-40B4-BE49-F238E27FC236}">
              <a16:creationId xmlns:a16="http://schemas.microsoft.com/office/drawing/2014/main" id="{5BCBA09E-BCC6-4F24-894C-3DAF9A12A7F4}"/>
            </a:ext>
          </a:extLst>
        </xdr:cNvPr>
        <xdr:cNvSpPr txBox="1"/>
      </xdr:nvSpPr>
      <xdr:spPr>
        <a:xfrm>
          <a:off x="6772275" y="10725151"/>
          <a:ext cx="5257800" cy="2867024"/>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Pest control inputs are separated into pesticide</a:t>
          </a:r>
          <a:r>
            <a:rPr lang="en-US" sz="1000" baseline="0">
              <a:latin typeface="Arial" panose="020B0604020202020204" pitchFamily="34" charset="0"/>
              <a:cs typeface="Arial" panose="020B0604020202020204" pitchFamily="34" charset="0"/>
            </a:rPr>
            <a:t> costs and application costs. </a:t>
          </a:r>
        </a:p>
        <a:p>
          <a:endParaRPr lang="en-US"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Arial" panose="020B0604020202020204" pitchFamily="34" charset="0"/>
              <a:ea typeface="+mn-ea"/>
              <a:cs typeface="Arial" panose="020B0604020202020204" pitchFamily="34" charset="0"/>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sz="1000">
            <a:effectLst/>
            <a:latin typeface="Arial" panose="020B0604020202020204" pitchFamily="34" charset="0"/>
            <a:cs typeface="Arial" panose="020B0604020202020204" pitchFamily="34" charset="0"/>
          </a:endParaRP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Use caution not to double count costs, some examples are: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Seed treatment, for example, the application cost may be covered by the planting cost which is in a separate section, and the seed treatment cost it's self may be in the seed cost.</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Some products, like foliar insecticide could be tank mixed with an herbicide application depending on timing of need and application cost should only be included once.</a:t>
          </a:r>
        </a:p>
        <a:p>
          <a:endParaRPr lang="en-US" sz="1000" baseline="0">
            <a:latin typeface="Arial" panose="020B0604020202020204" pitchFamily="34" charset="0"/>
            <a:cs typeface="Arial" panose="020B0604020202020204" pitchFamily="34" charset="0"/>
          </a:endParaRPr>
        </a:p>
        <a:p>
          <a:r>
            <a:rPr lang="en-US" sz="1000" baseline="0">
              <a:latin typeface="Arial" panose="020B0604020202020204" pitchFamily="34" charset="0"/>
              <a:cs typeface="Arial" panose="020B0604020202020204" pitchFamily="34" charset="0"/>
            </a:rPr>
            <a:t>*Include application costs here whether you apply your own or hire it done. </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857249</xdr:colOff>
      <xdr:row>103</xdr:row>
      <xdr:rowOff>95249</xdr:rowOff>
    </xdr:from>
    <xdr:to>
      <xdr:col>19</xdr:col>
      <xdr:colOff>523874</xdr:colOff>
      <xdr:row>112</xdr:row>
      <xdr:rowOff>114299</xdr:rowOff>
    </xdr:to>
    <xdr:sp macro="" textlink="">
      <xdr:nvSpPr>
        <xdr:cNvPr id="7" name="TextBox 6">
          <a:extLst>
            <a:ext uri="{FF2B5EF4-FFF2-40B4-BE49-F238E27FC236}">
              <a16:creationId xmlns:a16="http://schemas.microsoft.com/office/drawing/2014/main" id="{5CF720DF-C21B-4121-9FAF-C2C573646F19}"/>
            </a:ext>
          </a:extLst>
        </xdr:cNvPr>
        <xdr:cNvSpPr txBox="1"/>
      </xdr:nvSpPr>
      <xdr:spPr>
        <a:xfrm>
          <a:off x="6705599" y="17087849"/>
          <a:ext cx="7229475" cy="14954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Click on the left end cell of the links to the resources</a:t>
          </a:r>
          <a:r>
            <a:rPr lang="en-US" sz="1000" baseline="0">
              <a:solidFill>
                <a:schemeClr val="dk1"/>
              </a:solidFill>
              <a:effectLst/>
              <a:latin typeface="Arial" panose="020B0604020202020204" pitchFamily="34" charset="0"/>
              <a:ea typeface="+mn-ea"/>
              <a:cs typeface="Arial" panose="020B0604020202020204" pitchFamily="34" charset="0"/>
            </a:rPr>
            <a:t> below to go to those web pages.</a:t>
          </a:r>
          <a:endParaRPr lang="en-US" sz="10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28B92616-3C11-46F4-9CB1-AAF464128092}"/>
            </a:ext>
          </a:extLst>
        </xdr:cNvPr>
        <xdr:cNvSpPr txBox="1"/>
      </xdr:nvSpPr>
      <xdr:spPr>
        <a:xfrm>
          <a:off x="6334125" y="11215688"/>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latin typeface="Arial" panose="020B0604020202020204" pitchFamily="34" charset="0"/>
              <a:cs typeface="Arial" panose="020B0604020202020204" pitchFamily="34" charset="0"/>
            </a:rPr>
            <a:t>If</a:t>
          </a:r>
          <a:r>
            <a:rPr lang="en-US" sz="1000" baseline="0">
              <a:latin typeface="Arial" panose="020B0604020202020204" pitchFamily="34" charset="0"/>
              <a:cs typeface="Arial" panose="020B0604020202020204" pitchFamily="34" charset="0"/>
            </a:rPr>
            <a:t> soil sampling and test costs are part of the nutrient management plan costs, or part of </a:t>
          </a:r>
        </a:p>
        <a:p>
          <a:r>
            <a:rPr lang="en-US" sz="1000" baseline="0">
              <a:latin typeface="Arial" panose="020B0604020202020204" pitchFamily="34" charset="0"/>
              <a:cs typeface="Arial" panose="020B0604020202020204" pitchFamily="34" charset="0"/>
            </a:rPr>
            <a:t>crop scouting service, make sure to only enter them in once at the location of your choice</a:t>
          </a:r>
          <a:r>
            <a:rPr lang="en-US" sz="1100" baseline="0"/>
            <a:t>.</a:t>
          </a:r>
          <a:endParaRPr lang="en-US" sz="1100"/>
        </a:p>
      </xdr:txBody>
    </xdr:sp>
    <xdr:clientData/>
  </xdr:oneCellAnchor>
  <xdr:twoCellAnchor>
    <xdr:from>
      <xdr:col>6</xdr:col>
      <xdr:colOff>884237</xdr:colOff>
      <xdr:row>128</xdr:row>
      <xdr:rowOff>158750</xdr:rowOff>
    </xdr:from>
    <xdr:to>
      <xdr:col>17</xdr:col>
      <xdr:colOff>312737</xdr:colOff>
      <xdr:row>132</xdr:row>
      <xdr:rowOff>20637</xdr:rowOff>
    </xdr:to>
    <xdr:sp macro="" textlink="">
      <xdr:nvSpPr>
        <xdr:cNvPr id="9" name="TextBox 8">
          <a:extLst>
            <a:ext uri="{FF2B5EF4-FFF2-40B4-BE49-F238E27FC236}">
              <a16:creationId xmlns:a16="http://schemas.microsoft.com/office/drawing/2014/main" id="{6143CAE2-918E-476B-9E18-CDCBB8AC17E7}"/>
            </a:ext>
          </a:extLst>
        </xdr:cNvPr>
        <xdr:cNvSpPr txBox="1"/>
      </xdr:nvSpPr>
      <xdr:spPr>
        <a:xfrm>
          <a:off x="6732587" y="2147570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hauling section pro-rates a full load of what ever size truck is used to a per acre cost based on yield you enter above.</a:t>
          </a:r>
          <a:endParaRPr lang="en-US" sz="1000">
            <a:latin typeface="Arial" panose="020B0604020202020204" pitchFamily="34" charset="0"/>
            <a:cs typeface="Arial" panose="020B0604020202020204" pitchFamily="34" charset="0"/>
          </a:endParaRPr>
        </a:p>
      </xdr:txBody>
    </xdr:sp>
    <xdr:clientData/>
  </xdr:twoCellAnchor>
  <xdr:twoCellAnchor>
    <xdr:from>
      <xdr:col>7</xdr:col>
      <xdr:colOff>15875</xdr:colOff>
      <xdr:row>11</xdr:row>
      <xdr:rowOff>15874</xdr:rowOff>
    </xdr:from>
    <xdr:to>
      <xdr:col>16</xdr:col>
      <xdr:colOff>190500</xdr:colOff>
      <xdr:row>15</xdr:row>
      <xdr:rowOff>95249</xdr:rowOff>
    </xdr:to>
    <xdr:sp macro="" textlink="">
      <xdr:nvSpPr>
        <xdr:cNvPr id="10" name="TextBox 9">
          <a:extLst>
            <a:ext uri="{FF2B5EF4-FFF2-40B4-BE49-F238E27FC236}">
              <a16:creationId xmlns:a16="http://schemas.microsoft.com/office/drawing/2014/main" id="{3C65D7A5-517F-4697-943C-0E628EE5F83A}"/>
            </a:ext>
          </a:extLst>
        </xdr:cNvPr>
        <xdr:cNvSpPr txBox="1"/>
      </xdr:nvSpPr>
      <xdr:spPr>
        <a:xfrm>
          <a:off x="6619875" y="1547812"/>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953345</xdr:colOff>
      <xdr:row>4</xdr:row>
      <xdr:rowOff>1208</xdr:rowOff>
    </xdr:to>
    <xdr:pic>
      <xdr:nvPicPr>
        <xdr:cNvPr id="2" name="Picture 1">
          <a:extLst>
            <a:ext uri="{FF2B5EF4-FFF2-40B4-BE49-F238E27FC236}">
              <a16:creationId xmlns:a16="http://schemas.microsoft.com/office/drawing/2014/main" id="{5E0C7CAA-5BEC-491B-8BE7-B154989465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29203" cy="567265"/>
        </a:xfrm>
        <a:prstGeom prst="rect">
          <a:avLst/>
        </a:prstGeom>
      </xdr:spPr>
    </xdr:pic>
    <xdr:clientData/>
  </xdr:twoCellAnchor>
  <xdr:oneCellAnchor>
    <xdr:from>
      <xdr:col>7</xdr:col>
      <xdr:colOff>57150</xdr:colOff>
      <xdr:row>17</xdr:row>
      <xdr:rowOff>19046</xdr:rowOff>
    </xdr:from>
    <xdr:ext cx="5143500" cy="5924554"/>
    <xdr:sp macro="" textlink="">
      <xdr:nvSpPr>
        <xdr:cNvPr id="3" name="TextBox 2">
          <a:extLst>
            <a:ext uri="{FF2B5EF4-FFF2-40B4-BE49-F238E27FC236}">
              <a16:creationId xmlns:a16="http://schemas.microsoft.com/office/drawing/2014/main" id="{08937FC7-D88E-428A-A679-478D14B1EC72}"/>
            </a:ext>
          </a:extLst>
        </xdr:cNvPr>
        <xdr:cNvSpPr txBox="1"/>
      </xdr:nvSpPr>
      <xdr:spPr>
        <a:xfrm>
          <a:off x="7077075" y="2543171"/>
          <a:ext cx="5143500" cy="5924554"/>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E37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58</xdr:row>
      <xdr:rowOff>57149</xdr:rowOff>
    </xdr:from>
    <xdr:to>
      <xdr:col>16</xdr:col>
      <xdr:colOff>285750</xdr:colOff>
      <xdr:row>63</xdr:row>
      <xdr:rowOff>104775</xdr:rowOff>
    </xdr:to>
    <xdr:sp macro="" textlink="">
      <xdr:nvSpPr>
        <xdr:cNvPr id="4" name="TextBox 3">
          <a:extLst>
            <a:ext uri="{FF2B5EF4-FFF2-40B4-BE49-F238E27FC236}">
              <a16:creationId xmlns:a16="http://schemas.microsoft.com/office/drawing/2014/main" id="{4D332377-8377-4F3A-9BB3-0A083FB4F279}"/>
            </a:ext>
          </a:extLst>
        </xdr:cNvPr>
        <xdr:cNvSpPr txBox="1"/>
      </xdr:nvSpPr>
      <xdr:spPr>
        <a:xfrm>
          <a:off x="7077074" y="9648824"/>
          <a:ext cx="5181601" cy="857251"/>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80,000 kernels, 80,000 kernals is the standard number of kernels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53</xdr:row>
      <xdr:rowOff>19050</xdr:rowOff>
    </xdr:from>
    <xdr:ext cx="184731" cy="264560"/>
    <xdr:sp macro="" textlink="">
      <xdr:nvSpPr>
        <xdr:cNvPr id="5" name="TextBox 4">
          <a:extLst>
            <a:ext uri="{FF2B5EF4-FFF2-40B4-BE49-F238E27FC236}">
              <a16:creationId xmlns:a16="http://schemas.microsoft.com/office/drawing/2014/main" id="{E73383C4-3C8A-4048-9A89-B827E49FD8AC}"/>
            </a:ext>
          </a:extLst>
        </xdr:cNvPr>
        <xdr:cNvSpPr txBox="1"/>
      </xdr:nvSpPr>
      <xdr:spPr>
        <a:xfrm>
          <a:off x="11944350" y="880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67</xdr:row>
      <xdr:rowOff>0</xdr:rowOff>
    </xdr:from>
    <xdr:to>
      <xdr:col>16</xdr:col>
      <xdr:colOff>333375</xdr:colOff>
      <xdr:row>87</xdr:row>
      <xdr:rowOff>25977</xdr:rowOff>
    </xdr:to>
    <xdr:sp macro="" textlink="">
      <xdr:nvSpPr>
        <xdr:cNvPr id="6" name="TextBox 5">
          <a:extLst>
            <a:ext uri="{FF2B5EF4-FFF2-40B4-BE49-F238E27FC236}">
              <a16:creationId xmlns:a16="http://schemas.microsoft.com/office/drawing/2014/main" id="{91DD3F5D-EE0D-4F88-A378-95C9A6AEF940}"/>
            </a:ext>
          </a:extLst>
        </xdr:cNvPr>
        <xdr:cNvSpPr txBox="1"/>
      </xdr:nvSpPr>
      <xdr:spPr>
        <a:xfrm>
          <a:off x="7048500" y="10725150"/>
          <a:ext cx="5257800" cy="327400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867640</xdr:colOff>
      <xdr:row>106</xdr:row>
      <xdr:rowOff>17320</xdr:rowOff>
    </xdr:from>
    <xdr:to>
      <xdr:col>19</xdr:col>
      <xdr:colOff>534265</xdr:colOff>
      <xdr:row>115</xdr:row>
      <xdr:rowOff>47626</xdr:rowOff>
    </xdr:to>
    <xdr:sp macro="" textlink="">
      <xdr:nvSpPr>
        <xdr:cNvPr id="7" name="TextBox 6">
          <a:extLst>
            <a:ext uri="{FF2B5EF4-FFF2-40B4-BE49-F238E27FC236}">
              <a16:creationId xmlns:a16="http://schemas.microsoft.com/office/drawing/2014/main" id="{223A5D6A-F9F1-40AC-87A7-7A823CF78932}"/>
            </a:ext>
          </a:extLst>
        </xdr:cNvPr>
        <xdr:cNvSpPr txBox="1"/>
      </xdr:nvSpPr>
      <xdr:spPr>
        <a:xfrm>
          <a:off x="6992215" y="17495695"/>
          <a:ext cx="7229475" cy="153525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94</xdr:row>
      <xdr:rowOff>127000</xdr:rowOff>
    </xdr:from>
    <xdr:ext cx="5199063" cy="571500"/>
    <xdr:sp macro="" textlink="">
      <xdr:nvSpPr>
        <xdr:cNvPr id="8" name="TextBox 7">
          <a:extLst>
            <a:ext uri="{FF2B5EF4-FFF2-40B4-BE49-F238E27FC236}">
              <a16:creationId xmlns:a16="http://schemas.microsoft.com/office/drawing/2014/main" id="{4C4BE283-AB2F-41AE-A5D2-3C5A8C18DB2E}"/>
            </a:ext>
          </a:extLst>
        </xdr:cNvPr>
        <xdr:cNvSpPr txBox="1"/>
      </xdr:nvSpPr>
      <xdr:spPr>
        <a:xfrm>
          <a:off x="7083425" y="1526222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147</xdr:row>
      <xdr:rowOff>111125</xdr:rowOff>
    </xdr:from>
    <xdr:to>
      <xdr:col>17</xdr:col>
      <xdr:colOff>293687</xdr:colOff>
      <xdr:row>150</xdr:row>
      <xdr:rowOff>134937</xdr:rowOff>
    </xdr:to>
    <xdr:sp macro="" textlink="">
      <xdr:nvSpPr>
        <xdr:cNvPr id="9" name="TextBox 8">
          <a:extLst>
            <a:ext uri="{FF2B5EF4-FFF2-40B4-BE49-F238E27FC236}">
              <a16:creationId xmlns:a16="http://schemas.microsoft.com/office/drawing/2014/main" id="{0D1DA137-1E8E-4F27-937B-8925D5CDE251}"/>
            </a:ext>
          </a:extLst>
        </xdr:cNvPr>
        <xdr:cNvSpPr txBox="1"/>
      </xdr:nvSpPr>
      <xdr:spPr>
        <a:xfrm>
          <a:off x="6989762" y="23933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per mile hauling section prorates a full load of what ever size truck is used to a per acre cost based on yield you enter above.</a:t>
          </a:r>
          <a:endParaRPr lang="en-US" sz="1100"/>
        </a:p>
      </xdr:txBody>
    </xdr:sp>
    <xdr:clientData/>
  </xdr:twoCellAnchor>
  <xdr:twoCellAnchor>
    <xdr:from>
      <xdr:col>6</xdr:col>
      <xdr:colOff>857251</xdr:colOff>
      <xdr:row>151</xdr:row>
      <xdr:rowOff>155865</xdr:rowOff>
    </xdr:from>
    <xdr:to>
      <xdr:col>17</xdr:col>
      <xdr:colOff>381000</xdr:colOff>
      <xdr:row>153</xdr:row>
      <xdr:rowOff>95250</xdr:rowOff>
    </xdr:to>
    <xdr:sp macro="" textlink="">
      <xdr:nvSpPr>
        <xdr:cNvPr id="10" name="TextBox 9">
          <a:extLst>
            <a:ext uri="{FF2B5EF4-FFF2-40B4-BE49-F238E27FC236}">
              <a16:creationId xmlns:a16="http://schemas.microsoft.com/office/drawing/2014/main" id="{C440BDEF-A99D-466B-B3BC-23907FEA9B22}"/>
            </a:ext>
          </a:extLst>
        </xdr:cNvPr>
        <xdr:cNvSpPr txBox="1"/>
      </xdr:nvSpPr>
      <xdr:spPr>
        <a:xfrm>
          <a:off x="6981826" y="246255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25978</xdr:colOff>
      <xdr:row>11</xdr:row>
      <xdr:rowOff>129886</xdr:rowOff>
    </xdr:from>
    <xdr:to>
      <xdr:col>16</xdr:col>
      <xdr:colOff>200603</xdr:colOff>
      <xdr:row>16</xdr:row>
      <xdr:rowOff>21647</xdr:rowOff>
    </xdr:to>
    <xdr:sp macro="" textlink="">
      <xdr:nvSpPr>
        <xdr:cNvPr id="11" name="TextBox 10">
          <a:extLst>
            <a:ext uri="{FF2B5EF4-FFF2-40B4-BE49-F238E27FC236}">
              <a16:creationId xmlns:a16="http://schemas.microsoft.com/office/drawing/2014/main" id="{52E28B4A-CFF8-48A0-BF04-3E55E1185023}"/>
            </a:ext>
          </a:extLst>
        </xdr:cNvPr>
        <xdr:cNvSpPr txBox="1"/>
      </xdr:nvSpPr>
      <xdr:spPr>
        <a:xfrm>
          <a:off x="7045903" y="1682461"/>
          <a:ext cx="5127625" cy="70138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876300</xdr:colOff>
      <xdr:row>132</xdr:row>
      <xdr:rowOff>142875</xdr:rowOff>
    </xdr:from>
    <xdr:to>
      <xdr:col>19</xdr:col>
      <xdr:colOff>542925</xdr:colOff>
      <xdr:row>139</xdr:row>
      <xdr:rowOff>0</xdr:rowOff>
    </xdr:to>
    <xdr:sp macro="" textlink="">
      <xdr:nvSpPr>
        <xdr:cNvPr id="12" name="TextBox 11">
          <a:extLst>
            <a:ext uri="{FF2B5EF4-FFF2-40B4-BE49-F238E27FC236}">
              <a16:creationId xmlns:a16="http://schemas.microsoft.com/office/drawing/2014/main" id="{0BBEC603-6B76-4BE9-8816-9B767918E424}"/>
            </a:ext>
          </a:extLst>
        </xdr:cNvPr>
        <xdr:cNvSpPr txBox="1"/>
      </xdr:nvSpPr>
      <xdr:spPr>
        <a:xfrm>
          <a:off x="7000875" y="22107525"/>
          <a:ext cx="7229475" cy="9906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budget tool is set up to allow entry of harvest costs on per acre, per hour, and per ton basis due to the many ways that these costs may be known or billed for.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It is neccessary to use careful consideration to accurately account for the harvest costs without missing or double counting expenses by unintetionally entering the cost in more than one place.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168832</xdr:colOff>
      <xdr:row>4</xdr:row>
      <xdr:rowOff>1208</xdr:rowOff>
    </xdr:to>
    <xdr:pic>
      <xdr:nvPicPr>
        <xdr:cNvPr id="2" name="Picture 1">
          <a:extLst>
            <a:ext uri="{FF2B5EF4-FFF2-40B4-BE49-F238E27FC236}">
              <a16:creationId xmlns:a16="http://schemas.microsoft.com/office/drawing/2014/main" id="{463EB67A-0A8B-4EF6-ABE6-B7141335A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17</xdr:row>
      <xdr:rowOff>19047</xdr:rowOff>
    </xdr:from>
    <xdr:ext cx="5143500" cy="5934078"/>
    <xdr:sp macro="" textlink="">
      <xdr:nvSpPr>
        <xdr:cNvPr id="3" name="TextBox 2">
          <a:extLst>
            <a:ext uri="{FF2B5EF4-FFF2-40B4-BE49-F238E27FC236}">
              <a16:creationId xmlns:a16="http://schemas.microsoft.com/office/drawing/2014/main" id="{DB2BBC33-B072-48DB-856B-011AD7CA4B98}"/>
            </a:ext>
          </a:extLst>
        </xdr:cNvPr>
        <xdr:cNvSpPr txBox="1"/>
      </xdr:nvSpPr>
      <xdr:spPr>
        <a:xfrm>
          <a:off x="6619875" y="2543172"/>
          <a:ext cx="5143500" cy="5934078"/>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E31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52</xdr:row>
      <xdr:rowOff>57149</xdr:rowOff>
    </xdr:from>
    <xdr:to>
      <xdr:col>16</xdr:col>
      <xdr:colOff>285750</xdr:colOff>
      <xdr:row>57</xdr:row>
      <xdr:rowOff>114300</xdr:rowOff>
    </xdr:to>
    <xdr:sp macro="" textlink="">
      <xdr:nvSpPr>
        <xdr:cNvPr id="4" name="TextBox 3">
          <a:extLst>
            <a:ext uri="{FF2B5EF4-FFF2-40B4-BE49-F238E27FC236}">
              <a16:creationId xmlns:a16="http://schemas.microsoft.com/office/drawing/2014/main" id="{F665182B-9936-4248-A981-0EC5AA542B3C}"/>
            </a:ext>
          </a:extLst>
        </xdr:cNvPr>
        <xdr:cNvSpPr txBox="1"/>
      </xdr:nvSpPr>
      <xdr:spPr>
        <a:xfrm>
          <a:off x="6819899" y="8572499"/>
          <a:ext cx="5181601" cy="86677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140,000 beans, 140,000 beans is the standard number of beans in a traditional "bag" of seed.</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47</xdr:row>
      <xdr:rowOff>19050</xdr:rowOff>
    </xdr:from>
    <xdr:ext cx="184731" cy="264560"/>
    <xdr:sp macro="" textlink="">
      <xdr:nvSpPr>
        <xdr:cNvPr id="5" name="TextBox 4">
          <a:extLst>
            <a:ext uri="{FF2B5EF4-FFF2-40B4-BE49-F238E27FC236}">
              <a16:creationId xmlns:a16="http://schemas.microsoft.com/office/drawing/2014/main" id="{1644DBBD-D0AB-4F6B-A13E-1B5ECA6DBCF3}"/>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61</xdr:row>
      <xdr:rowOff>0</xdr:rowOff>
    </xdr:from>
    <xdr:to>
      <xdr:col>16</xdr:col>
      <xdr:colOff>333375</xdr:colOff>
      <xdr:row>81</xdr:row>
      <xdr:rowOff>38100</xdr:rowOff>
    </xdr:to>
    <xdr:sp macro="" textlink="">
      <xdr:nvSpPr>
        <xdr:cNvPr id="6" name="TextBox 5">
          <a:extLst>
            <a:ext uri="{FF2B5EF4-FFF2-40B4-BE49-F238E27FC236}">
              <a16:creationId xmlns:a16="http://schemas.microsoft.com/office/drawing/2014/main" id="{0FB03BC1-48B7-4FD8-8A95-B1A4C75BCD17}"/>
            </a:ext>
          </a:extLst>
        </xdr:cNvPr>
        <xdr:cNvSpPr txBox="1"/>
      </xdr:nvSpPr>
      <xdr:spPr>
        <a:xfrm>
          <a:off x="6591300" y="9667875"/>
          <a:ext cx="5257800" cy="32861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876299</xdr:colOff>
      <xdr:row>96</xdr:row>
      <xdr:rowOff>95251</xdr:rowOff>
    </xdr:from>
    <xdr:to>
      <xdr:col>19</xdr:col>
      <xdr:colOff>542924</xdr:colOff>
      <xdr:row>106</xdr:row>
      <xdr:rowOff>1</xdr:rowOff>
    </xdr:to>
    <xdr:sp macro="" textlink="">
      <xdr:nvSpPr>
        <xdr:cNvPr id="7" name="TextBox 6">
          <a:extLst>
            <a:ext uri="{FF2B5EF4-FFF2-40B4-BE49-F238E27FC236}">
              <a16:creationId xmlns:a16="http://schemas.microsoft.com/office/drawing/2014/main" id="{A1D10D04-8012-4978-88CB-2A367DBC8753}"/>
            </a:ext>
          </a:extLst>
        </xdr:cNvPr>
        <xdr:cNvSpPr txBox="1"/>
      </xdr:nvSpPr>
      <xdr:spPr>
        <a:xfrm>
          <a:off x="6743699" y="15849601"/>
          <a:ext cx="7229475" cy="15430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88</xdr:row>
      <xdr:rowOff>127000</xdr:rowOff>
    </xdr:from>
    <xdr:ext cx="5199063" cy="571500"/>
    <xdr:sp macro="" textlink="">
      <xdr:nvSpPr>
        <xdr:cNvPr id="8" name="TextBox 7">
          <a:extLst>
            <a:ext uri="{FF2B5EF4-FFF2-40B4-BE49-F238E27FC236}">
              <a16:creationId xmlns:a16="http://schemas.microsoft.com/office/drawing/2014/main" id="{D2D8CCFB-D2F4-4547-873C-E65F3253A489}"/>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7</xdr:col>
      <xdr:colOff>17462</xdr:colOff>
      <xdr:row>123</xdr:row>
      <xdr:rowOff>101600</xdr:rowOff>
    </xdr:from>
    <xdr:to>
      <xdr:col>17</xdr:col>
      <xdr:colOff>341312</xdr:colOff>
      <xdr:row>126</xdr:row>
      <xdr:rowOff>125412</xdr:rowOff>
    </xdr:to>
    <xdr:sp macro="" textlink="">
      <xdr:nvSpPr>
        <xdr:cNvPr id="9" name="TextBox 8">
          <a:extLst>
            <a:ext uri="{FF2B5EF4-FFF2-40B4-BE49-F238E27FC236}">
              <a16:creationId xmlns:a16="http://schemas.microsoft.com/office/drawing/2014/main" id="{FD20A8D1-93F4-46B3-9E17-9C96ED6F85F0}"/>
            </a:ext>
          </a:extLst>
        </xdr:cNvPr>
        <xdr:cNvSpPr txBox="1"/>
      </xdr:nvSpPr>
      <xdr:spPr>
        <a:xfrm>
          <a:off x="6780212" y="205041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1" name="TextBox 10">
          <a:extLst>
            <a:ext uri="{FF2B5EF4-FFF2-40B4-BE49-F238E27FC236}">
              <a16:creationId xmlns:a16="http://schemas.microsoft.com/office/drawing/2014/main" id="{4011CA25-9415-4950-AEB8-233BA9667904}"/>
            </a:ext>
          </a:extLst>
        </xdr:cNvPr>
        <xdr:cNvSpPr txBox="1"/>
      </xdr:nvSpPr>
      <xdr:spPr>
        <a:xfrm>
          <a:off x="6562725" y="171450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3</xdr:col>
      <xdr:colOff>83107</xdr:colOff>
      <xdr:row>4</xdr:row>
      <xdr:rowOff>1208</xdr:rowOff>
    </xdr:to>
    <xdr:pic>
      <xdr:nvPicPr>
        <xdr:cNvPr id="2" name="Picture 1">
          <a:extLst>
            <a:ext uri="{FF2B5EF4-FFF2-40B4-BE49-F238E27FC236}">
              <a16:creationId xmlns:a16="http://schemas.microsoft.com/office/drawing/2014/main" id="{82AEE381-3415-4DE8-B0AA-84B74E5792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57150</xdr:colOff>
      <xdr:row>18</xdr:row>
      <xdr:rowOff>19046</xdr:rowOff>
    </xdr:from>
    <xdr:ext cx="5143500" cy="6134103"/>
    <xdr:sp macro="" textlink="">
      <xdr:nvSpPr>
        <xdr:cNvPr id="3" name="TextBox 2">
          <a:extLst>
            <a:ext uri="{FF2B5EF4-FFF2-40B4-BE49-F238E27FC236}">
              <a16:creationId xmlns:a16="http://schemas.microsoft.com/office/drawing/2014/main" id="{40BA5A15-A21F-45AA-80CA-D887845A5CD3}"/>
            </a:ext>
          </a:extLst>
        </xdr:cNvPr>
        <xdr:cNvSpPr txBox="1"/>
      </xdr:nvSpPr>
      <xdr:spPr>
        <a:xfrm>
          <a:off x="6619875" y="2952746"/>
          <a:ext cx="5143500" cy="613410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E38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59</xdr:row>
      <xdr:rowOff>57149</xdr:rowOff>
    </xdr:from>
    <xdr:to>
      <xdr:col>16</xdr:col>
      <xdr:colOff>285750</xdr:colOff>
      <xdr:row>64</xdr:row>
      <xdr:rowOff>19050</xdr:rowOff>
    </xdr:to>
    <xdr:sp macro="" textlink="">
      <xdr:nvSpPr>
        <xdr:cNvPr id="4" name="TextBox 3">
          <a:extLst>
            <a:ext uri="{FF2B5EF4-FFF2-40B4-BE49-F238E27FC236}">
              <a16:creationId xmlns:a16="http://schemas.microsoft.com/office/drawing/2014/main" id="{93FA6FBF-24A4-4CF6-B472-283E973BEA33}"/>
            </a:ext>
          </a:extLst>
        </xdr:cNvPr>
        <xdr:cNvSpPr txBox="1"/>
      </xdr:nvSpPr>
      <xdr:spPr>
        <a:xfrm>
          <a:off x="6896099" y="10058399"/>
          <a:ext cx="5181601" cy="771526"/>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per bushel, and enter in seeding rate in bushels/ acre.</a:t>
          </a:r>
        </a:p>
        <a:p>
          <a:endParaRPr lang="en-US" sz="1100" baseline="0"/>
        </a:p>
        <a:p>
          <a:r>
            <a:rPr lang="en-US" sz="1100" baseline="0"/>
            <a:t>Cover crop seed should be the cover crop planted before this crop.</a:t>
          </a:r>
          <a:endParaRPr lang="en-US" sz="1100"/>
        </a:p>
      </xdr:txBody>
    </xdr:sp>
    <xdr:clientData/>
  </xdr:twoCellAnchor>
  <xdr:oneCellAnchor>
    <xdr:from>
      <xdr:col>15</xdr:col>
      <xdr:colOff>542925</xdr:colOff>
      <xdr:row>54</xdr:row>
      <xdr:rowOff>19050</xdr:rowOff>
    </xdr:from>
    <xdr:ext cx="184731" cy="264560"/>
    <xdr:sp macro="" textlink="">
      <xdr:nvSpPr>
        <xdr:cNvPr id="5" name="TextBox 4">
          <a:extLst>
            <a:ext uri="{FF2B5EF4-FFF2-40B4-BE49-F238E27FC236}">
              <a16:creationId xmlns:a16="http://schemas.microsoft.com/office/drawing/2014/main" id="{C20263A9-A627-47E6-AFE5-3305BFF02429}"/>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68</xdr:row>
      <xdr:rowOff>0</xdr:rowOff>
    </xdr:from>
    <xdr:to>
      <xdr:col>16</xdr:col>
      <xdr:colOff>333375</xdr:colOff>
      <xdr:row>88</xdr:row>
      <xdr:rowOff>104775</xdr:rowOff>
    </xdr:to>
    <xdr:sp macro="" textlink="">
      <xdr:nvSpPr>
        <xdr:cNvPr id="6" name="TextBox 5">
          <a:extLst>
            <a:ext uri="{FF2B5EF4-FFF2-40B4-BE49-F238E27FC236}">
              <a16:creationId xmlns:a16="http://schemas.microsoft.com/office/drawing/2014/main" id="{2A5B5A88-A4A1-4915-B3F4-124E9A109F62}"/>
            </a:ext>
          </a:extLst>
        </xdr:cNvPr>
        <xdr:cNvSpPr txBox="1"/>
      </xdr:nvSpPr>
      <xdr:spPr>
        <a:xfrm>
          <a:off x="6591300" y="11153775"/>
          <a:ext cx="5257800" cy="33528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endParaRPr lang="en-US">
            <a:effectLst/>
          </a:endParaRPr>
        </a:p>
        <a:p>
          <a:endParaRPr lang="en-US" sz="1100"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6</xdr:col>
      <xdr:colOff>847724</xdr:colOff>
      <xdr:row>106</xdr:row>
      <xdr:rowOff>9526</xdr:rowOff>
    </xdr:from>
    <xdr:to>
      <xdr:col>19</xdr:col>
      <xdr:colOff>514349</xdr:colOff>
      <xdr:row>114</xdr:row>
      <xdr:rowOff>161926</xdr:rowOff>
    </xdr:to>
    <xdr:sp macro="" textlink="">
      <xdr:nvSpPr>
        <xdr:cNvPr id="7" name="TextBox 6">
          <a:extLst>
            <a:ext uri="{FF2B5EF4-FFF2-40B4-BE49-F238E27FC236}">
              <a16:creationId xmlns:a16="http://schemas.microsoft.com/office/drawing/2014/main" id="{D2C3FEC9-089E-4F0B-B608-D76CF6059F12}"/>
            </a:ext>
          </a:extLst>
        </xdr:cNvPr>
        <xdr:cNvSpPr txBox="1"/>
      </xdr:nvSpPr>
      <xdr:spPr>
        <a:xfrm>
          <a:off x="6791324" y="17735551"/>
          <a:ext cx="7229475" cy="148590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baseline="0"/>
        </a:p>
        <a:p>
          <a:r>
            <a:rPr lang="en-US" sz="1100" baseline="0"/>
            <a:t> </a:t>
          </a:r>
          <a:endParaRPr lang="en-US" sz="1100"/>
        </a:p>
      </xdr:txBody>
    </xdr:sp>
    <xdr:clientData/>
  </xdr:twoCellAnchor>
  <xdr:oneCellAnchor>
    <xdr:from>
      <xdr:col>7</xdr:col>
      <xdr:colOff>63500</xdr:colOff>
      <xdr:row>95</xdr:row>
      <xdr:rowOff>127000</xdr:rowOff>
    </xdr:from>
    <xdr:ext cx="5199063" cy="571500"/>
    <xdr:sp macro="" textlink="">
      <xdr:nvSpPr>
        <xdr:cNvPr id="8" name="TextBox 7">
          <a:extLst>
            <a:ext uri="{FF2B5EF4-FFF2-40B4-BE49-F238E27FC236}">
              <a16:creationId xmlns:a16="http://schemas.microsoft.com/office/drawing/2014/main" id="{F4B4FF7A-A43F-4E4E-9D69-62AE81A83527}"/>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141</xdr:row>
      <xdr:rowOff>111125</xdr:rowOff>
    </xdr:from>
    <xdr:to>
      <xdr:col>17</xdr:col>
      <xdr:colOff>293687</xdr:colOff>
      <xdr:row>144</xdr:row>
      <xdr:rowOff>134937</xdr:rowOff>
    </xdr:to>
    <xdr:sp macro="" textlink="">
      <xdr:nvSpPr>
        <xdr:cNvPr id="9" name="TextBox 8">
          <a:extLst>
            <a:ext uri="{FF2B5EF4-FFF2-40B4-BE49-F238E27FC236}">
              <a16:creationId xmlns:a16="http://schemas.microsoft.com/office/drawing/2014/main" id="{5D924DC1-E775-4E0B-9862-56C734793D2B}"/>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truck is used to a per acre cost based on yield you enter above.</a:t>
          </a:r>
          <a:endParaRPr lang="en-US" sz="1100"/>
        </a:p>
      </xdr:txBody>
    </xdr:sp>
    <xdr:clientData/>
  </xdr:twoCellAnchor>
  <xdr:twoCellAnchor>
    <xdr:from>
      <xdr:col>7</xdr:col>
      <xdr:colOff>9525</xdr:colOff>
      <xdr:row>161</xdr:row>
      <xdr:rowOff>142875</xdr:rowOff>
    </xdr:from>
    <xdr:to>
      <xdr:col>18</xdr:col>
      <xdr:colOff>180975</xdr:colOff>
      <xdr:row>164</xdr:row>
      <xdr:rowOff>0</xdr:rowOff>
    </xdr:to>
    <xdr:sp macro="" textlink="">
      <xdr:nvSpPr>
        <xdr:cNvPr id="10" name="TextBox 9">
          <a:extLst>
            <a:ext uri="{FF2B5EF4-FFF2-40B4-BE49-F238E27FC236}">
              <a16:creationId xmlns:a16="http://schemas.microsoft.com/office/drawing/2014/main" id="{F62760F2-F1BB-4DA8-8FA8-F6A7BAEB12F2}"/>
            </a:ext>
          </a:extLst>
        </xdr:cNvPr>
        <xdr:cNvSpPr txBox="1"/>
      </xdr:nvSpPr>
      <xdr:spPr>
        <a:xfrm>
          <a:off x="6572250" y="26498550"/>
          <a:ext cx="6267450" cy="3429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Grain expense</a:t>
          </a:r>
          <a:r>
            <a:rPr lang="en-US" sz="1100" baseline="0"/>
            <a:t>s in this budget include all expenses except straw harvest, hauling, and storage expenses.</a:t>
          </a:r>
          <a:endParaRPr lang="en-US" sz="1100"/>
        </a:p>
      </xdr:txBody>
    </xdr:sp>
    <xdr:clientData/>
  </xdr:twoCellAnchor>
  <xdr:twoCellAnchor>
    <xdr:from>
      <xdr:col>7</xdr:col>
      <xdr:colOff>0</xdr:colOff>
      <xdr:row>12</xdr:row>
      <xdr:rowOff>0</xdr:rowOff>
    </xdr:from>
    <xdr:to>
      <xdr:col>16</xdr:col>
      <xdr:colOff>174625</xdr:colOff>
      <xdr:row>16</xdr:row>
      <xdr:rowOff>66675</xdr:rowOff>
    </xdr:to>
    <xdr:sp macro="" textlink="">
      <xdr:nvSpPr>
        <xdr:cNvPr id="12" name="TextBox 11">
          <a:extLst>
            <a:ext uri="{FF2B5EF4-FFF2-40B4-BE49-F238E27FC236}">
              <a16:creationId xmlns:a16="http://schemas.microsoft.com/office/drawing/2014/main" id="{C637D9EE-194B-42F8-A884-C1702CF004F7}"/>
            </a:ext>
          </a:extLst>
        </xdr:cNvPr>
        <xdr:cNvSpPr txBox="1"/>
      </xdr:nvSpPr>
      <xdr:spPr>
        <a:xfrm>
          <a:off x="6562725" y="19621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their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849870</xdr:colOff>
      <xdr:row>4</xdr:row>
      <xdr:rowOff>1208</xdr:rowOff>
    </xdr:to>
    <xdr:pic>
      <xdr:nvPicPr>
        <xdr:cNvPr id="2" name="Picture 1">
          <a:extLst>
            <a:ext uri="{FF2B5EF4-FFF2-40B4-BE49-F238E27FC236}">
              <a16:creationId xmlns:a16="http://schemas.microsoft.com/office/drawing/2014/main" id="{906655AE-F257-4BAA-BD0D-65A4E0DB8D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954340" cy="595840"/>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8D9FE3E9-3A8C-47C8-8B3C-8B244A35A35F}"/>
            </a:ext>
          </a:extLst>
        </xdr:cNvPr>
        <xdr:cNvSpPr txBox="1"/>
      </xdr:nvSpPr>
      <xdr:spPr>
        <a:xfrm>
          <a:off x="69532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95250</xdr:rowOff>
    </xdr:to>
    <xdr:sp macro="" textlink="">
      <xdr:nvSpPr>
        <xdr:cNvPr id="4" name="TextBox 3">
          <a:extLst>
            <a:ext uri="{FF2B5EF4-FFF2-40B4-BE49-F238E27FC236}">
              <a16:creationId xmlns:a16="http://schemas.microsoft.com/office/drawing/2014/main" id="{F680A414-8678-450C-9D56-FA4B34E95447}"/>
            </a:ext>
          </a:extLst>
        </xdr:cNvPr>
        <xdr:cNvSpPr txBox="1"/>
      </xdr:nvSpPr>
      <xdr:spPr>
        <a:xfrm>
          <a:off x="7848599" y="10267950"/>
          <a:ext cx="5910264" cy="20002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a:t>
          </a:r>
          <a:r>
            <a:rPr lang="en-US" sz="1100" baseline="0"/>
            <a:t> price for alfalfa and other perennial seed per 50 lb bag basis, and enter in the pounds of seed planted per acre.</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endParaRPr lang="en-US">
            <a:effectLst/>
          </a:endParaRPr>
        </a:p>
        <a:p>
          <a:endParaRPr lang="en-US" sz="1100" baseline="0"/>
        </a:p>
        <a:p>
          <a:r>
            <a:rPr lang="en-US" sz="1100" baseline="0"/>
            <a:t>Nurse crop seed could be the cover crop planted before this crop, or it may be a separate planting.</a:t>
          </a:r>
        </a:p>
        <a:p>
          <a:r>
            <a:rPr lang="en-US" sz="1100" baseline="0"/>
            <a:t>Enter in the price per bushel or per pound along with the seeding rate. All cover crops and nurse crop seed costs will be credited to the seeding year.</a:t>
          </a:r>
        </a:p>
        <a:p>
          <a:endParaRPr lang="en-US" sz="110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ECF907EB-4A2F-4170-87B1-DFAF2848EB88}"/>
            </a:ext>
          </a:extLst>
        </xdr:cNvPr>
        <xdr:cNvSpPr txBox="1"/>
      </xdr:nvSpPr>
      <xdr:spPr>
        <a:xfrm>
          <a:off x="11487150" y="882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9E40AD7A-4618-48EA-865D-EA1149A31108}"/>
            </a:ext>
          </a:extLst>
        </xdr:cNvPr>
        <xdr:cNvSpPr txBox="1"/>
      </xdr:nvSpPr>
      <xdr:spPr>
        <a:xfrm>
          <a:off x="6672263" y="11453813"/>
          <a:ext cx="5599112" cy="305593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A80C58F5-2BF1-4EBE-81B5-262B29292B05}"/>
            </a:ext>
          </a:extLst>
        </xdr:cNvPr>
        <xdr:cNvSpPr txBox="1"/>
      </xdr:nvSpPr>
      <xdr:spPr>
        <a:xfrm>
          <a:off x="7305674" y="19116676"/>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79757BF7-8A2B-4E68-B41E-F4391011F760}"/>
            </a:ext>
          </a:extLst>
        </xdr:cNvPr>
        <xdr:cNvSpPr txBox="1"/>
      </xdr:nvSpPr>
      <xdr:spPr>
        <a:xfrm>
          <a:off x="6626225" y="15281275"/>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601A60DE-9135-4672-8D7E-2F1298C9342B}"/>
            </a:ext>
          </a:extLst>
        </xdr:cNvPr>
        <xdr:cNvSpPr txBox="1"/>
      </xdr:nvSpPr>
      <xdr:spPr>
        <a:xfrm>
          <a:off x="6532562" y="20389850"/>
          <a:ext cx="58483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CFC62B69-E337-42CA-94E9-06834AA3CAEB}"/>
            </a:ext>
          </a:extLst>
        </xdr:cNvPr>
        <xdr:cNvSpPr txBox="1"/>
      </xdr:nvSpPr>
      <xdr:spPr>
        <a:xfrm>
          <a:off x="6591301" y="23673090"/>
          <a:ext cx="59435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19050</xdr:colOff>
      <xdr:row>147</xdr:row>
      <xdr:rowOff>133350</xdr:rowOff>
    </xdr:from>
    <xdr:to>
      <xdr:col>20</xdr:col>
      <xdr:colOff>57150</xdr:colOff>
      <xdr:row>166</xdr:row>
      <xdr:rowOff>0</xdr:rowOff>
    </xdr:to>
    <xdr:sp macro="" textlink="">
      <xdr:nvSpPr>
        <xdr:cNvPr id="11" name="TextBox 10">
          <a:extLst>
            <a:ext uri="{FF2B5EF4-FFF2-40B4-BE49-F238E27FC236}">
              <a16:creationId xmlns:a16="http://schemas.microsoft.com/office/drawing/2014/main" id="{8216C28B-15A6-4035-8C37-370CC7DE3134}"/>
            </a:ext>
          </a:extLst>
        </xdr:cNvPr>
        <xdr:cNvSpPr txBox="1"/>
      </xdr:nvSpPr>
      <xdr:spPr>
        <a:xfrm>
          <a:off x="7296150" y="24507825"/>
          <a:ext cx="7620000" cy="29432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B6580D31-8720-43DF-BFDF-ACE1178C8AD1}"/>
            </a:ext>
          </a:extLst>
        </xdr:cNvPr>
        <xdr:cNvSpPr txBox="1"/>
      </xdr:nvSpPr>
      <xdr:spPr>
        <a:xfrm>
          <a:off x="6791325" y="31680150"/>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2C6933C9-540E-41ED-B1CA-65F60D57502B}"/>
            </a:ext>
          </a:extLst>
        </xdr:cNvPr>
        <xdr:cNvSpPr txBox="1"/>
      </xdr:nvSpPr>
      <xdr:spPr>
        <a:xfrm>
          <a:off x="69342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961080C4-6660-4980-9FF3-4E8086908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B69045F1-9FAF-4CB0-B526-3739271B7D05}"/>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57149</xdr:rowOff>
    </xdr:from>
    <xdr:to>
      <xdr:col>16</xdr:col>
      <xdr:colOff>285750</xdr:colOff>
      <xdr:row>73</xdr:row>
      <xdr:rowOff>38100</xdr:rowOff>
    </xdr:to>
    <xdr:sp macro="" textlink="">
      <xdr:nvSpPr>
        <xdr:cNvPr id="4" name="TextBox 3">
          <a:extLst>
            <a:ext uri="{FF2B5EF4-FFF2-40B4-BE49-F238E27FC236}">
              <a16:creationId xmlns:a16="http://schemas.microsoft.com/office/drawing/2014/main" id="{4ADB8266-4488-40DD-9A59-F1421259C659}"/>
            </a:ext>
          </a:extLst>
        </xdr:cNvPr>
        <xdr:cNvSpPr txBox="1"/>
      </xdr:nvSpPr>
      <xdr:spPr>
        <a:xfrm>
          <a:off x="7848599" y="10267949"/>
          <a:ext cx="5910264" cy="2109789"/>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If you want to pro-rate seed costs over the entire life of the stand enter the </a:t>
          </a:r>
          <a:r>
            <a:rPr lang="en-US" sz="1100" b="1" baseline="0"/>
            <a:t>Expected years of stand </a:t>
          </a:r>
          <a:r>
            <a:rPr lang="en-US" sz="1100" baseline="0"/>
            <a:t>life in that cell, </a:t>
          </a:r>
          <a:endParaRPr lang="en-US" sz="1100" b="1" baseline="0"/>
        </a:p>
        <a:p>
          <a:endParaRPr lang="en-US" sz="1100" b="1" baseline="0"/>
        </a:p>
        <a:p>
          <a:r>
            <a:rPr lang="en-US" sz="1100" b="1" baseline="0"/>
            <a:t>If you are crediting all seed costs to the seeding year, do not enter any seed costs into these established year budgets.</a:t>
          </a:r>
        </a:p>
        <a:p>
          <a:endParaRPr lang="en-US" sz="1100" b="1" baseline="0"/>
        </a:p>
        <a:p>
          <a:r>
            <a:rPr lang="en-US" sz="1100" b="0" baseline="0"/>
            <a:t>Then enter in the perennial seed costs and seeding rates for the stand.</a:t>
          </a:r>
          <a:endParaRPr lang="en-US" sz="1100" b="0" i="0" u="none" strike="noStrike" baseline="0">
            <a:solidFill>
              <a:schemeClr val="dk1"/>
            </a:solidFill>
            <a:effectLst/>
            <a:latin typeface="+mn-lt"/>
            <a:ea typeface="+mn-ea"/>
            <a:cs typeface="+mn-cs"/>
          </a:endParaRP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Lines  are available to enter any established stand renovation/ rescue seeding costs into the budget.  Those costs will all be credited to this current years expenses.</a:t>
          </a:r>
          <a:endParaRPr lang="en-US" sz="1100" b="0" baseline="0"/>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C48A29F9-4D7F-45A1-A842-7E7C5C009C49}"/>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767E77D0-03A4-4D47-B5FD-045C7100C340}"/>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A7C6583E-BAEC-48F7-9534-0D397F46B7AA}"/>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F173CE5D-5FD9-4EE0-A7E7-52705F0E7665}"/>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66FC6988-1C32-4A5B-BC91-2EF71BDA168C}"/>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9731E606-70B4-431A-8D01-5C6CE83AB3B1}"/>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38100</xdr:colOff>
      <xdr:row>147</xdr:row>
      <xdr:rowOff>95250</xdr:rowOff>
    </xdr:from>
    <xdr:to>
      <xdr:col>20</xdr:col>
      <xdr:colOff>76200</xdr:colOff>
      <xdr:row>165</xdr:row>
      <xdr:rowOff>66675</xdr:rowOff>
    </xdr:to>
    <xdr:sp macro="" textlink="">
      <xdr:nvSpPr>
        <xdr:cNvPr id="11" name="TextBox 10">
          <a:extLst>
            <a:ext uri="{FF2B5EF4-FFF2-40B4-BE49-F238E27FC236}">
              <a16:creationId xmlns:a16="http://schemas.microsoft.com/office/drawing/2014/main" id="{91790285-2D81-4041-9913-9DDD91052BB2}"/>
            </a:ext>
          </a:extLst>
        </xdr:cNvPr>
        <xdr:cNvSpPr txBox="1"/>
      </xdr:nvSpPr>
      <xdr:spPr>
        <a:xfrm>
          <a:off x="7315200" y="24469725"/>
          <a:ext cx="7620000" cy="28860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AC66E06D-77D7-49F8-8512-2629F861FBBF}"/>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E6747DB8-C9B8-4832-9A2B-A8A304102664}"/>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91167</xdr:colOff>
      <xdr:row>0</xdr:row>
      <xdr:rowOff>34018</xdr:rowOff>
    </xdr:from>
    <xdr:to>
      <xdr:col>2</xdr:col>
      <xdr:colOff>621270</xdr:colOff>
      <xdr:row>4</xdr:row>
      <xdr:rowOff>1208</xdr:rowOff>
    </xdr:to>
    <xdr:pic>
      <xdr:nvPicPr>
        <xdr:cNvPr id="2" name="Picture 1">
          <a:extLst>
            <a:ext uri="{FF2B5EF4-FFF2-40B4-BE49-F238E27FC236}">
              <a16:creationId xmlns:a16="http://schemas.microsoft.com/office/drawing/2014/main" id="{BCDC56F3-BBB2-427A-8E0A-9C94E49F70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67" y="34018"/>
          <a:ext cx="3730503" cy="567265"/>
        </a:xfrm>
        <a:prstGeom prst="rect">
          <a:avLst/>
        </a:prstGeom>
      </xdr:spPr>
    </xdr:pic>
    <xdr:clientData/>
  </xdr:twoCellAnchor>
  <xdr:oneCellAnchor>
    <xdr:from>
      <xdr:col>7</xdr:col>
      <xdr:colOff>19050</xdr:colOff>
      <xdr:row>24</xdr:row>
      <xdr:rowOff>19046</xdr:rowOff>
    </xdr:from>
    <xdr:ext cx="5143500" cy="5962653"/>
    <xdr:sp macro="" textlink="">
      <xdr:nvSpPr>
        <xdr:cNvPr id="3" name="TextBox 2">
          <a:extLst>
            <a:ext uri="{FF2B5EF4-FFF2-40B4-BE49-F238E27FC236}">
              <a16:creationId xmlns:a16="http://schemas.microsoft.com/office/drawing/2014/main" id="{2ED224EF-269A-4596-ACF1-AC3E2AE955F3}"/>
            </a:ext>
          </a:extLst>
        </xdr:cNvPr>
        <xdr:cNvSpPr txBox="1"/>
      </xdr:nvSpPr>
      <xdr:spPr>
        <a:xfrm>
          <a:off x="7296150" y="3695696"/>
          <a:ext cx="5143500" cy="5962653"/>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section is for determining costs, it is not a nutrient management planning tool.</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Some fertilizer input options in the budget will not be utilized for some crops.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Cost Calculator tab is a separate sheet that is set up to provide the user tools to easily calculate nutrient costs per pound of nutrient, or cost per acre of product for fertilizer additives.</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fertilizer input section is set up with two options.  This is to try to make entry as simple as possible for users.  When entering fertilizer inputs, only enter them in one of the two sections so you do not double count them.</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first section is set up to calculate the cost based on the total pounds or gallons of each fertilizer product applied that is entered along with the corresponding price.  These fertilizer materials are often materials that are providing multiple nutrients with that product, like starters or blends such as 9-23-30.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second section is set up to calculate cost based on the pounds of actual nutrient applied per acre for the three primary nutrients.  In this section the pounds of actual nutrient are entered along with a price per lb. of nutrient.  The Fertilizer Cost Calculator tab is set up to calculate cost per lb. of nutrient.  There is a section of the Phosphorus cost/ lb. of nutrient calculator to help determine the cost of nitrogen that is a component of some common phosphorus fertilizer sources in the Fertilizer Cost Tab.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 Use the N cost calculator in the P fertilizer section, (cell I47), on the Fertilizer Cost Calculator sheet to determine the cost for cell E39 on this page.</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 manure line should be used to account for the cost of any purchased manure inputs and it's application.  Application of on farm produced manure should be accounted for in pre-harvest field operation costs. </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Other fertilizer line can be used for micronutrients, or a combination of inputs not accounted for in the other fertilizer expense categories in the budget.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Include Custom hired Fertilizer Application Costs if it is not already included in the cost of the fertilizer entered in other locations in the budget sheet.</a:t>
          </a:r>
        </a:p>
        <a:p>
          <a:pPr marL="0" marR="0">
            <a:lnSpc>
              <a:spcPct val="107000"/>
            </a:lnSpc>
            <a:spcBef>
              <a:spcPts val="0"/>
            </a:spcBef>
            <a:spcAft>
              <a:spcPts val="800"/>
            </a:spcAft>
          </a:pPr>
          <a:r>
            <a:rPr lang="en-US" sz="1000">
              <a:effectLst/>
              <a:latin typeface="Arial" panose="020B0604020202020204" pitchFamily="34" charset="0"/>
              <a:ea typeface="Calibri" panose="020F0502020204030204" pitchFamily="34" charset="0"/>
              <a:cs typeface="Arial" panose="020B0604020202020204" pitchFamily="34" charset="0"/>
            </a:rPr>
            <a:t>There is a soil test cost calculator on the Fertilizer Cost Calculator Sheet.</a:t>
          </a:r>
        </a:p>
        <a:p>
          <a:endParaRPr lang="en-US" sz="1000" baseline="0">
            <a:latin typeface="Arial" panose="020B0604020202020204" pitchFamily="34" charset="0"/>
            <a:cs typeface="Arial" panose="020B0604020202020204" pitchFamily="34" charset="0"/>
          </a:endParaRPr>
        </a:p>
      </xdr:txBody>
    </xdr:sp>
    <xdr:clientData/>
  </xdr:oneCellAnchor>
  <xdr:twoCellAnchor>
    <xdr:from>
      <xdr:col>7</xdr:col>
      <xdr:colOff>57149</xdr:colOff>
      <xdr:row>60</xdr:row>
      <xdr:rowOff>57150</xdr:rowOff>
    </xdr:from>
    <xdr:to>
      <xdr:col>16</xdr:col>
      <xdr:colOff>285750</xdr:colOff>
      <xdr:row>72</xdr:row>
      <xdr:rowOff>71438</xdr:rowOff>
    </xdr:to>
    <xdr:sp macro="" textlink="">
      <xdr:nvSpPr>
        <xdr:cNvPr id="4" name="TextBox 3">
          <a:extLst>
            <a:ext uri="{FF2B5EF4-FFF2-40B4-BE49-F238E27FC236}">
              <a16:creationId xmlns:a16="http://schemas.microsoft.com/office/drawing/2014/main" id="{03E0D9C8-3B51-4C63-B072-752215E95E06}"/>
            </a:ext>
          </a:extLst>
        </xdr:cNvPr>
        <xdr:cNvSpPr txBox="1"/>
      </xdr:nvSpPr>
      <xdr:spPr>
        <a:xfrm>
          <a:off x="7848599" y="10267950"/>
          <a:ext cx="5910264" cy="1976438"/>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price for alfalfa and other perennial seed per 50 lb bag basis, and enter in the pounds of seed planted per acre.</a:t>
          </a:r>
        </a:p>
        <a:p>
          <a:endParaRPr lang="en-US">
            <a:effectLst/>
          </a:endParaRPr>
        </a:p>
        <a:p>
          <a:pPr eaLnBrk="1" fontAlgn="auto" latinLnBrk="0" hangingPunct="1"/>
          <a:r>
            <a:rPr lang="en-US" sz="1100" baseline="0">
              <a:solidFill>
                <a:schemeClr val="dk1"/>
              </a:solidFill>
              <a:effectLst/>
              <a:latin typeface="+mn-lt"/>
              <a:ea typeface="+mn-ea"/>
              <a:cs typeface="+mn-cs"/>
            </a:rPr>
            <a:t>If you want to pro-rate perennial seed costs over the entire life of the stand enter the </a:t>
          </a:r>
          <a:r>
            <a:rPr lang="en-US" sz="1100" b="1" baseline="0">
              <a:solidFill>
                <a:schemeClr val="dk1"/>
              </a:solidFill>
              <a:effectLst/>
              <a:latin typeface="+mn-lt"/>
              <a:ea typeface="+mn-ea"/>
              <a:cs typeface="+mn-cs"/>
            </a:rPr>
            <a:t>Expected years of stand </a:t>
          </a:r>
          <a:r>
            <a:rPr lang="en-US" sz="1100" baseline="0">
              <a:solidFill>
                <a:schemeClr val="dk1"/>
              </a:solidFill>
              <a:effectLst/>
              <a:latin typeface="+mn-lt"/>
              <a:ea typeface="+mn-ea"/>
              <a:cs typeface="+mn-cs"/>
            </a:rPr>
            <a:t>life in that cell, if you want to assign entire seed costs only to the establishment year enter a 1 in </a:t>
          </a:r>
          <a:r>
            <a:rPr lang="en-US" sz="1100" b="1" baseline="0">
              <a:solidFill>
                <a:schemeClr val="dk1"/>
              </a:solidFill>
              <a:effectLst/>
              <a:latin typeface="+mn-lt"/>
              <a:ea typeface="+mn-ea"/>
              <a:cs typeface="+mn-cs"/>
            </a:rPr>
            <a:t>Expected years of stand</a:t>
          </a:r>
        </a:p>
        <a:p>
          <a:pPr eaLnBrk="1" fontAlgn="auto" latinLnBrk="0" hangingPunct="1"/>
          <a:endParaRPr lang="en-US">
            <a:effectLst/>
          </a:endParaRPr>
        </a:p>
        <a:p>
          <a:r>
            <a:rPr lang="en-US" sz="1100" baseline="0">
              <a:solidFill>
                <a:schemeClr val="dk1"/>
              </a:solidFill>
              <a:effectLst/>
              <a:latin typeface="+mn-lt"/>
              <a:ea typeface="+mn-ea"/>
              <a:cs typeface="+mn-cs"/>
            </a:rPr>
            <a:t>Nurse crop seed could be the cover crop planted before this crop, or it may be a separate planting.</a:t>
          </a:r>
          <a:endParaRPr lang="en-US">
            <a:effectLst/>
          </a:endParaRPr>
        </a:p>
        <a:p>
          <a:r>
            <a:rPr lang="en-US" sz="1100" baseline="0">
              <a:solidFill>
                <a:schemeClr val="dk1"/>
              </a:solidFill>
              <a:effectLst/>
              <a:latin typeface="+mn-lt"/>
              <a:ea typeface="+mn-ea"/>
              <a:cs typeface="+mn-cs"/>
            </a:rPr>
            <a:t>Enter in the price per bushel or per pound along with the seeding rate. All cover crops and nurse crop seed costs will be credited to the seeding year.</a:t>
          </a:r>
          <a:endParaRPr lang="en-US">
            <a:effectLst/>
          </a:endParaRPr>
        </a:p>
        <a:p>
          <a:endParaRPr lang="en-US" sz="1100" b="1"/>
        </a:p>
      </xdr:txBody>
    </xdr:sp>
    <xdr:clientData/>
  </xdr:twoCellAnchor>
  <xdr:oneCellAnchor>
    <xdr:from>
      <xdr:col>15</xdr:col>
      <xdr:colOff>542925</xdr:colOff>
      <xdr:row>55</xdr:row>
      <xdr:rowOff>19050</xdr:rowOff>
    </xdr:from>
    <xdr:ext cx="184731" cy="264560"/>
    <xdr:sp macro="" textlink="">
      <xdr:nvSpPr>
        <xdr:cNvPr id="5" name="TextBox 4">
          <a:extLst>
            <a:ext uri="{FF2B5EF4-FFF2-40B4-BE49-F238E27FC236}">
              <a16:creationId xmlns:a16="http://schemas.microsoft.com/office/drawing/2014/main" id="{C60EB95F-AED1-406D-B4C2-7C770FA6D3BB}"/>
            </a:ext>
          </a:extLst>
        </xdr:cNvPr>
        <xdr:cNvSpPr txBox="1"/>
      </xdr:nvSpPr>
      <xdr:spPr>
        <a:xfrm>
          <a:off x="1254442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28575</xdr:colOff>
      <xdr:row>74</xdr:row>
      <xdr:rowOff>0</xdr:rowOff>
    </xdr:from>
    <xdr:to>
      <xdr:col>16</xdr:col>
      <xdr:colOff>333375</xdr:colOff>
      <xdr:row>93</xdr:row>
      <xdr:rowOff>23812</xdr:rowOff>
    </xdr:to>
    <xdr:sp macro="" textlink="">
      <xdr:nvSpPr>
        <xdr:cNvPr id="6" name="TextBox 5">
          <a:extLst>
            <a:ext uri="{FF2B5EF4-FFF2-40B4-BE49-F238E27FC236}">
              <a16:creationId xmlns:a16="http://schemas.microsoft.com/office/drawing/2014/main" id="{9514FF86-A634-4737-84A1-2C04322AB526}"/>
            </a:ext>
          </a:extLst>
        </xdr:cNvPr>
        <xdr:cNvSpPr txBox="1"/>
      </xdr:nvSpPr>
      <xdr:spPr>
        <a:xfrm>
          <a:off x="7305675" y="12182475"/>
          <a:ext cx="5600700" cy="3109912"/>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Pest control inputs are separated into pesticide</a:t>
          </a:r>
          <a:r>
            <a:rPr lang="en-US" sz="1100" baseline="0"/>
            <a:t> costs and the application costs. </a:t>
          </a:r>
        </a:p>
        <a:p>
          <a:endParaRPr lang="en-US" sz="1100" baseline="0"/>
        </a:p>
        <a:p>
          <a:r>
            <a:rPr lang="en-US" sz="1100" b="1" baseline="0"/>
            <a:t>There are multiple lines for several pest control applications because some years may require additional passes depending on pest pressure. Be sure you are scouting the crops and using IPM determined thresholds to determine if applications are necessary.  When using these to project costs, include your average number of applications from past years.</a:t>
          </a:r>
        </a:p>
        <a:p>
          <a:endParaRPr lang="en-US" sz="1100" b="1" baseline="0"/>
        </a:p>
        <a:p>
          <a:r>
            <a:rPr lang="en-US" sz="1100" baseline="0"/>
            <a:t>Use caution not to double count costs, some examples are:</a:t>
          </a:r>
        </a:p>
        <a:p>
          <a:endParaRPr lang="en-US" sz="1100" baseline="0"/>
        </a:p>
        <a:p>
          <a:r>
            <a:rPr lang="en-US" sz="1100" baseline="0"/>
            <a:t>Seed treatment, for example, the application cost may be covered by the planting cost which is in a separate section, and the seed treatment cost it's self may be in the seed cost.</a:t>
          </a:r>
        </a:p>
        <a:p>
          <a:endParaRPr lang="en-US" sz="1100" baseline="0"/>
        </a:p>
        <a:p>
          <a:r>
            <a:rPr lang="en-US" sz="1100" baseline="0"/>
            <a:t>Some products, like foliar insecticide could be tank mixed with an herbicide application depending on timing of need and application cost should only be included once.</a:t>
          </a:r>
        </a:p>
        <a:p>
          <a:endParaRPr lang="en-US" sz="1100" baseline="0"/>
        </a:p>
        <a:p>
          <a:r>
            <a:rPr lang="en-US" sz="1100" baseline="0"/>
            <a:t>*Include application costs here whether you apply your own or hire it done. </a:t>
          </a:r>
          <a:endParaRPr lang="en-US" sz="1100"/>
        </a:p>
      </xdr:txBody>
    </xdr:sp>
    <xdr:clientData/>
  </xdr:twoCellAnchor>
  <xdr:twoCellAnchor>
    <xdr:from>
      <xdr:col>7</xdr:col>
      <xdr:colOff>28574</xdr:colOff>
      <xdr:row>119</xdr:row>
      <xdr:rowOff>19051</xdr:rowOff>
    </xdr:from>
    <xdr:to>
      <xdr:col>20</xdr:col>
      <xdr:colOff>19049</xdr:colOff>
      <xdr:row>128</xdr:row>
      <xdr:rowOff>19051</xdr:rowOff>
    </xdr:to>
    <xdr:sp macro="" textlink="">
      <xdr:nvSpPr>
        <xdr:cNvPr id="7" name="TextBox 6">
          <a:extLst>
            <a:ext uri="{FF2B5EF4-FFF2-40B4-BE49-F238E27FC236}">
              <a16:creationId xmlns:a16="http://schemas.microsoft.com/office/drawing/2014/main" id="{B3397622-EF66-49F5-98B7-94F0E24D60AB}"/>
            </a:ext>
          </a:extLst>
        </xdr:cNvPr>
        <xdr:cNvSpPr txBox="1"/>
      </xdr:nvSpPr>
      <xdr:spPr>
        <a:xfrm>
          <a:off x="7305674" y="19602451"/>
          <a:ext cx="7572375" cy="1504950"/>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is set up so that Preharvest and Harvest Operations include fuel, repairs, machine storage, insurance on machinery, labor, and depreciation.  Following are links to resources to help determine these costs.  The spreadsheet resources from Iowa State and Minnesota will help estimate these costs closer to user’s actual costs than average values in fact sheets and custom rate guides.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Machinery operation cost fact sheet estimates often use assumptions of annual acres of use that may not be close to users of this budget so their estimates may not accurately represent user’s actual costs.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Click on the left end cell of the links to the resources below to go to those web pages.</a:t>
          </a:r>
        </a:p>
        <a:p>
          <a:endParaRPr lang="en-US" sz="1100"/>
        </a:p>
      </xdr:txBody>
    </xdr:sp>
    <xdr:clientData/>
  </xdr:twoCellAnchor>
  <xdr:oneCellAnchor>
    <xdr:from>
      <xdr:col>7</xdr:col>
      <xdr:colOff>63500</xdr:colOff>
      <xdr:row>107</xdr:row>
      <xdr:rowOff>127000</xdr:rowOff>
    </xdr:from>
    <xdr:ext cx="5199063" cy="571500"/>
    <xdr:sp macro="" textlink="">
      <xdr:nvSpPr>
        <xdr:cNvPr id="8" name="TextBox 7">
          <a:extLst>
            <a:ext uri="{FF2B5EF4-FFF2-40B4-BE49-F238E27FC236}">
              <a16:creationId xmlns:a16="http://schemas.microsoft.com/office/drawing/2014/main" id="{69E3155F-B97A-47BC-B225-93F7B15769CF}"/>
            </a:ext>
          </a:extLst>
        </xdr:cNvPr>
        <xdr:cNvSpPr txBox="1"/>
      </xdr:nvSpPr>
      <xdr:spPr>
        <a:xfrm>
          <a:off x="7340600" y="17691100"/>
          <a:ext cx="5199063" cy="571500"/>
        </a:xfrm>
        <a:prstGeom prst="rect">
          <a:avLst/>
        </a:prstGeom>
        <a:solidFill>
          <a:srgbClr val="F0F09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If</a:t>
          </a:r>
          <a:r>
            <a:rPr lang="en-US" sz="1100" baseline="0"/>
            <a:t> soil sampling and test costs are part of the nutrient management plan costs, or part of </a:t>
          </a:r>
        </a:p>
        <a:p>
          <a:r>
            <a:rPr lang="en-US" sz="1100" baseline="0"/>
            <a:t>crop scouting service, make sure to only enter them in once at the location of your choice.</a:t>
          </a:r>
          <a:endParaRPr lang="en-US" sz="1100"/>
        </a:p>
      </xdr:txBody>
    </xdr:sp>
    <xdr:clientData/>
  </xdr:oneCellAnchor>
  <xdr:twoCellAnchor>
    <xdr:from>
      <xdr:col>6</xdr:col>
      <xdr:colOff>865187</xdr:colOff>
      <xdr:row>173</xdr:row>
      <xdr:rowOff>111125</xdr:rowOff>
    </xdr:from>
    <xdr:to>
      <xdr:col>17</xdr:col>
      <xdr:colOff>293687</xdr:colOff>
      <xdr:row>176</xdr:row>
      <xdr:rowOff>134937</xdr:rowOff>
    </xdr:to>
    <xdr:sp macro="" textlink="">
      <xdr:nvSpPr>
        <xdr:cNvPr id="9" name="TextBox 8">
          <a:extLst>
            <a:ext uri="{FF2B5EF4-FFF2-40B4-BE49-F238E27FC236}">
              <a16:creationId xmlns:a16="http://schemas.microsoft.com/office/drawing/2014/main" id="{97595CC1-69F3-458B-8285-236D6EB840A2}"/>
            </a:ext>
          </a:extLst>
        </xdr:cNvPr>
        <xdr:cNvSpPr txBox="1"/>
      </xdr:nvSpPr>
      <xdr:spPr>
        <a:xfrm>
          <a:off x="7246937" y="28467050"/>
          <a:ext cx="6191250" cy="509587"/>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hauling section prorates a full load of what ever size turck is used to a per acre cost based on total yield  enter above.</a:t>
          </a:r>
          <a:endParaRPr lang="en-US" sz="1100"/>
        </a:p>
      </xdr:txBody>
    </xdr:sp>
    <xdr:clientData/>
  </xdr:twoCellAnchor>
  <xdr:twoCellAnchor>
    <xdr:from>
      <xdr:col>6</xdr:col>
      <xdr:colOff>857251</xdr:colOff>
      <xdr:row>177</xdr:row>
      <xdr:rowOff>155865</xdr:rowOff>
    </xdr:from>
    <xdr:to>
      <xdr:col>17</xdr:col>
      <xdr:colOff>381000</xdr:colOff>
      <xdr:row>179</xdr:row>
      <xdr:rowOff>95250</xdr:rowOff>
    </xdr:to>
    <xdr:sp macro="" textlink="">
      <xdr:nvSpPr>
        <xdr:cNvPr id="10" name="TextBox 9">
          <a:extLst>
            <a:ext uri="{FF2B5EF4-FFF2-40B4-BE49-F238E27FC236}">
              <a16:creationId xmlns:a16="http://schemas.microsoft.com/office/drawing/2014/main" id="{39E1D6DD-435D-40D4-A8B7-1F7A159A778A}"/>
            </a:ext>
          </a:extLst>
        </xdr:cNvPr>
        <xdr:cNvSpPr txBox="1"/>
      </xdr:nvSpPr>
      <xdr:spPr>
        <a:xfrm>
          <a:off x="7239001" y="29159490"/>
          <a:ext cx="6286499" cy="263235"/>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Bags and covers price per acre</a:t>
          </a:r>
          <a:r>
            <a:rPr lang="en-US" sz="1100" baseline="0"/>
            <a:t> pro-rate the expense based on yield entered at the top</a:t>
          </a:r>
          <a:endParaRPr lang="en-US" sz="1100"/>
        </a:p>
      </xdr:txBody>
    </xdr:sp>
    <xdr:clientData/>
  </xdr:twoCellAnchor>
  <xdr:twoCellAnchor>
    <xdr:from>
      <xdr:col>7</xdr:col>
      <xdr:colOff>28575</xdr:colOff>
      <xdr:row>146</xdr:row>
      <xdr:rowOff>85725</xdr:rowOff>
    </xdr:from>
    <xdr:to>
      <xdr:col>20</xdr:col>
      <xdr:colOff>66675</xdr:colOff>
      <xdr:row>164</xdr:row>
      <xdr:rowOff>152400</xdr:rowOff>
    </xdr:to>
    <xdr:sp macro="" textlink="">
      <xdr:nvSpPr>
        <xdr:cNvPr id="11" name="TextBox 10">
          <a:extLst>
            <a:ext uri="{FF2B5EF4-FFF2-40B4-BE49-F238E27FC236}">
              <a16:creationId xmlns:a16="http://schemas.microsoft.com/office/drawing/2014/main" id="{40F33FE9-547E-4595-9D05-67BA305CD89F}"/>
            </a:ext>
          </a:extLst>
        </xdr:cNvPr>
        <xdr:cNvSpPr txBox="1"/>
      </xdr:nvSpPr>
      <xdr:spPr>
        <a:xfrm>
          <a:off x="7305675" y="24298275"/>
          <a:ext cx="7620000" cy="298132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budget</a:t>
          </a:r>
          <a:r>
            <a:rPr lang="en-US" sz="1100" baseline="0"/>
            <a:t> tool is set up to allow entry of harvest costs on per acre, per hour, per bale and per ton basis due to the many ways that these costs may be known or billed for.  </a:t>
          </a:r>
        </a:p>
        <a:p>
          <a:endParaRPr lang="en-US" sz="1100" baseline="0"/>
        </a:p>
        <a:p>
          <a:r>
            <a:rPr lang="en-US" sz="1100" baseline="0"/>
            <a:t>It is neccessary to use careful consideration to accurately account for the harvest costs without missing or double counting expenses by unintetionally entering the cost in more than one place.  Some operations may be used on some cuttings, but not all cuttings.  For example in a 3 cutting example, two of the cuttings may be chopped and a third cutting made into big bale silage. </a:t>
          </a:r>
        </a:p>
        <a:p>
          <a:r>
            <a:rPr lang="en-US" sz="1100" baseline="0"/>
            <a:t>When entering it will be nessessary to privide a reasonable estimate on the number of bales per acre per year and number of tons per acre per year because multiple harvesting methods could be used, such as in the example given earlier in this paragraph.</a:t>
          </a:r>
        </a:p>
        <a:p>
          <a:endParaRPr lang="en-US" sz="1100" baseline="0"/>
        </a:p>
        <a:p>
          <a:r>
            <a:rPr lang="en-US" sz="1100" baseline="0"/>
            <a:t>To assist with the estimate the following table shows a percentage of total annual yield by cutting.</a:t>
          </a:r>
        </a:p>
        <a:p>
          <a:endParaRPr lang="en-US" sz="1100" baseline="0"/>
        </a:p>
        <a:p>
          <a:r>
            <a:rPr lang="en-US" sz="1100" u="sng" baseline="0"/>
            <a:t>cutting	3 cuttings	4 cuttings</a:t>
          </a:r>
        </a:p>
        <a:p>
          <a:r>
            <a:rPr lang="en-US" sz="1100" u="none" baseline="0"/>
            <a:t>1st	46%	36%</a:t>
          </a:r>
        </a:p>
        <a:p>
          <a:r>
            <a:rPr lang="en-US" sz="1100" u="none" baseline="0"/>
            <a:t>2nd	28%	25%</a:t>
          </a:r>
        </a:p>
        <a:p>
          <a:r>
            <a:rPr lang="en-US" sz="1100" u="none" baseline="0"/>
            <a:t>3rd	26%	21%</a:t>
          </a:r>
        </a:p>
        <a:p>
          <a:r>
            <a:rPr lang="en-US" sz="1100" u="none" baseline="0"/>
            <a:t>4th		18%</a:t>
          </a:r>
        </a:p>
      </xdr:txBody>
    </xdr:sp>
    <xdr:clientData/>
  </xdr:twoCellAnchor>
  <xdr:twoCellAnchor>
    <xdr:from>
      <xdr:col>7</xdr:col>
      <xdr:colOff>19050</xdr:colOff>
      <xdr:row>196</xdr:row>
      <xdr:rowOff>85725</xdr:rowOff>
    </xdr:from>
    <xdr:to>
      <xdr:col>18</xdr:col>
      <xdr:colOff>114300</xdr:colOff>
      <xdr:row>199</xdr:row>
      <xdr:rowOff>38100</xdr:rowOff>
    </xdr:to>
    <xdr:sp macro="" textlink="">
      <xdr:nvSpPr>
        <xdr:cNvPr id="12" name="TextBox 11">
          <a:extLst>
            <a:ext uri="{FF2B5EF4-FFF2-40B4-BE49-F238E27FC236}">
              <a16:creationId xmlns:a16="http://schemas.microsoft.com/office/drawing/2014/main" id="{182BA7ED-CA92-4CC3-BE5C-073692A08623}"/>
            </a:ext>
          </a:extLst>
        </xdr:cNvPr>
        <xdr:cNvSpPr txBox="1"/>
      </xdr:nvSpPr>
      <xdr:spPr>
        <a:xfrm>
          <a:off x="7296150" y="32165925"/>
          <a:ext cx="6534150" cy="457200"/>
        </a:xfrm>
        <a:prstGeom prst="rect">
          <a:avLst/>
        </a:prstGeom>
        <a:solidFill>
          <a:srgbClr val="F0F0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Breakevens</a:t>
          </a:r>
          <a:r>
            <a:rPr lang="en-US" sz="1100" baseline="0"/>
            <a:t> are calculated on total tons for forage harvested per acre including nurse crop forage if a yield is entered.</a:t>
          </a:r>
          <a:endParaRPr lang="en-US" sz="1100"/>
        </a:p>
      </xdr:txBody>
    </xdr:sp>
    <xdr:clientData/>
  </xdr:twoCellAnchor>
  <xdr:twoCellAnchor>
    <xdr:from>
      <xdr:col>7</xdr:col>
      <xdr:colOff>0</xdr:colOff>
      <xdr:row>18</xdr:row>
      <xdr:rowOff>0</xdr:rowOff>
    </xdr:from>
    <xdr:to>
      <xdr:col>15</xdr:col>
      <xdr:colOff>403225</xdr:colOff>
      <xdr:row>22</xdr:row>
      <xdr:rowOff>47625</xdr:rowOff>
    </xdr:to>
    <xdr:sp macro="" textlink="">
      <xdr:nvSpPr>
        <xdr:cNvPr id="13" name="TextBox 12">
          <a:extLst>
            <a:ext uri="{FF2B5EF4-FFF2-40B4-BE49-F238E27FC236}">
              <a16:creationId xmlns:a16="http://schemas.microsoft.com/office/drawing/2014/main" id="{28A3D3DC-E0E4-4610-BBDA-9783E5BE7EBE}"/>
            </a:ext>
          </a:extLst>
        </xdr:cNvPr>
        <xdr:cNvSpPr txBox="1"/>
      </xdr:nvSpPr>
      <xdr:spPr>
        <a:xfrm>
          <a:off x="7277100" y="2686050"/>
          <a:ext cx="5127625" cy="714375"/>
        </a:xfrm>
        <a:prstGeom prst="rect">
          <a:avLst/>
        </a:prstGeom>
        <a:solidFill>
          <a:srgbClr val="F0F09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enterprise budget has example revenue and expense numbers in it.  Users need to put thire own revenue and expenses into the spreadsheet.  All blue cells are set up for the user to enter in their own information.</a:t>
          </a:r>
          <a:endParaRPr lang="en-US"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erome.clark@wisc.edu" TargetMode="External"/><Relationship Id="rId7" Type="http://schemas.openxmlformats.org/officeDocument/2006/relationships/drawing" Target="../drawings/drawing1.xml"/><Relationship Id="rId2" Type="http://schemas.openxmlformats.org/officeDocument/2006/relationships/hyperlink" Target="mailto:kevin.jarek@wisc.edu" TargetMode="External"/><Relationship Id="rId1" Type="http://schemas.openxmlformats.org/officeDocument/2006/relationships/hyperlink" Target="mailto:william.halfman@wisc.edu" TargetMode="External"/><Relationship Id="rId6" Type="http://schemas.openxmlformats.org/officeDocument/2006/relationships/printerSettings" Target="../printerSettings/printerSettings1.bin"/><Relationship Id="rId5" Type="http://schemas.openxmlformats.org/officeDocument/2006/relationships/hyperlink" Target="mailto:pdmitchell@wisc.edu" TargetMode="External"/><Relationship Id="rId4" Type="http://schemas.openxmlformats.org/officeDocument/2006/relationships/hyperlink" Target="mailto:carl.duley@wisc.edu"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store.extension.iastate.edu/product/2022-Iowa-Farm-Custom-Rate-Survey"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store.extension.iastate.edu/product/2022-Iowa-Farm-Custom-Rate-Survey"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dn.shopify.com/s/files/1/0145/8808/4272/files/A2809.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store.extension.iastate.edu/product/2022-Iowa-Farm-Custom-Rate-Surve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tore.extension.iastate.edu/product/2022-Iowa-Farm-Custom-Rate-Surve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store.extension.iastate.edu/product/2022-Iowa-Farm-Custom-Rate-Surve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store.extension.iastate.edu/product/2022-Iowa-Farm-Custom-Rate-Surve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store.extension.iastate.edu/product/2022-Iowa-Farm-Custom-Rate-Survey"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store.extension.iastate.edu/product/2022-Iowa-Farm-Custom-Rate-Surve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xtension.iastate.edu/agdm/crops/xls/a3-29machcostcalc.xlsx" TargetMode="External"/><Relationship Id="rId2" Type="http://schemas.openxmlformats.org/officeDocument/2006/relationships/hyperlink" Target="https://wlazarus.cfans.umn.edu/william-f-lazarus-farm-machinery-management" TargetMode="External"/><Relationship Id="rId1" Type="http://schemas.openxmlformats.org/officeDocument/2006/relationships/hyperlink" Target="https://www.extension.iastate.edu/agdm/crops/html/a3-29.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store.extension.iastate.edu/product/2022-Iowa-Farm-Custom-Rate-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A1:L60"/>
  <sheetViews>
    <sheetView tabSelected="1" topLeftCell="A10" zoomScale="110" zoomScaleNormal="110" workbookViewId="0">
      <selection activeCell="F3" sqref="F3"/>
    </sheetView>
  </sheetViews>
  <sheetFormatPr defaultColWidth="8.42578125" defaultRowHeight="12.75" x14ac:dyDescent="0.2"/>
  <cols>
    <col min="1" max="1" width="12" customWidth="1"/>
    <col min="12" max="12" width="9.28515625" bestFit="1" customWidth="1"/>
  </cols>
  <sheetData>
    <row r="1" spans="1:3" ht="26.25" customHeight="1" x14ac:dyDescent="0.2">
      <c r="A1" s="417" t="s">
        <v>321</v>
      </c>
    </row>
    <row r="2" spans="1:3" ht="17.25" customHeight="1" x14ac:dyDescent="0.2">
      <c r="A2" s="25"/>
      <c r="B2" s="5"/>
    </row>
    <row r="3" spans="1:3" ht="17.25" customHeight="1" x14ac:dyDescent="0.2">
      <c r="A3" s="1"/>
      <c r="B3" s="5"/>
      <c r="C3" s="25" t="s">
        <v>322</v>
      </c>
    </row>
    <row r="4" spans="1:3" ht="15" customHeight="1" x14ac:dyDescent="0.2">
      <c r="A4" s="45"/>
    </row>
    <row r="5" spans="1:3" ht="15" customHeight="1" x14ac:dyDescent="0.2">
      <c r="A5" s="46"/>
    </row>
    <row r="6" spans="1:3" ht="15" customHeight="1" x14ac:dyDescent="0.2">
      <c r="A6" s="46"/>
    </row>
    <row r="7" spans="1:3" ht="15" customHeight="1" x14ac:dyDescent="0.2">
      <c r="A7" s="46"/>
    </row>
    <row r="8" spans="1:3" ht="15" customHeight="1" x14ac:dyDescent="0.2">
      <c r="A8" s="46"/>
    </row>
    <row r="9" spans="1:3" ht="15" customHeight="1" x14ac:dyDescent="0.2">
      <c r="A9" s="46"/>
    </row>
    <row r="10" spans="1:3" ht="15" customHeight="1" x14ac:dyDescent="0.2">
      <c r="A10" s="46"/>
    </row>
    <row r="11" spans="1:3" ht="15" customHeight="1" x14ac:dyDescent="0.2">
      <c r="A11" s="46"/>
    </row>
    <row r="12" spans="1:3" ht="15" customHeight="1" x14ac:dyDescent="0.2">
      <c r="A12" s="46"/>
    </row>
    <row r="13" spans="1:3" ht="15" customHeight="1" x14ac:dyDescent="0.2">
      <c r="A13" s="46"/>
    </row>
    <row r="14" spans="1:3" ht="15" customHeight="1" x14ac:dyDescent="0.2">
      <c r="A14" s="46"/>
    </row>
    <row r="15" spans="1:3" ht="15" customHeight="1" x14ac:dyDescent="0.2">
      <c r="A15" s="46"/>
    </row>
    <row r="16" spans="1:3" ht="15" customHeight="1" x14ac:dyDescent="0.2">
      <c r="A16" s="46"/>
    </row>
    <row r="17" spans="1:12" ht="15" customHeight="1" x14ac:dyDescent="0.2">
      <c r="A17" s="46"/>
    </row>
    <row r="18" spans="1:12" ht="15" customHeight="1" x14ac:dyDescent="0.2">
      <c r="A18" s="46"/>
    </row>
    <row r="19" spans="1:12" ht="15" customHeight="1" x14ac:dyDescent="0.2">
      <c r="A19" s="46"/>
    </row>
    <row r="20" spans="1:12" ht="15" customHeight="1" x14ac:dyDescent="0.2">
      <c r="A20" s="46"/>
    </row>
    <row r="21" spans="1:12" ht="15" customHeight="1" x14ac:dyDescent="0.2">
      <c r="A21" s="46"/>
    </row>
    <row r="22" spans="1:12" ht="15" customHeight="1" x14ac:dyDescent="0.2">
      <c r="A22" s="46"/>
    </row>
    <row r="23" spans="1:12" ht="15" customHeight="1" x14ac:dyDescent="0.2">
      <c r="A23" s="55"/>
    </row>
    <row r="24" spans="1:12" ht="15" customHeight="1" x14ac:dyDescent="0.2">
      <c r="A24" s="55"/>
    </row>
    <row r="25" spans="1:12" ht="15" customHeight="1" x14ac:dyDescent="0.2">
      <c r="A25" s="46"/>
    </row>
    <row r="26" spans="1:12" ht="15" customHeight="1" x14ac:dyDescent="0.2">
      <c r="A26" s="47"/>
    </row>
    <row r="31" spans="1:12" x14ac:dyDescent="0.2">
      <c r="J31" s="29" t="s">
        <v>388</v>
      </c>
      <c r="L31" s="593">
        <v>44671</v>
      </c>
    </row>
    <row r="32" spans="1:12" x14ac:dyDescent="0.2">
      <c r="A32" s="29" t="s">
        <v>387</v>
      </c>
    </row>
    <row r="33" spans="1:9" x14ac:dyDescent="0.2">
      <c r="A33" s="29" t="s">
        <v>382</v>
      </c>
      <c r="C33" s="29" t="s">
        <v>389</v>
      </c>
      <c r="I33" s="57" t="s">
        <v>397</v>
      </c>
    </row>
    <row r="34" spans="1:9" x14ac:dyDescent="0.2">
      <c r="A34" s="29" t="s">
        <v>383</v>
      </c>
      <c r="C34" s="29" t="s">
        <v>390</v>
      </c>
      <c r="I34" s="57" t="s">
        <v>398</v>
      </c>
    </row>
    <row r="35" spans="1:9" x14ac:dyDescent="0.2">
      <c r="A35" s="29" t="s">
        <v>384</v>
      </c>
      <c r="C35" s="29" t="s">
        <v>391</v>
      </c>
      <c r="I35" s="57" t="s">
        <v>399</v>
      </c>
    </row>
    <row r="36" spans="1:9" x14ac:dyDescent="0.2">
      <c r="A36" s="29" t="s">
        <v>385</v>
      </c>
      <c r="C36" s="29" t="s">
        <v>392</v>
      </c>
      <c r="I36" s="57" t="s">
        <v>400</v>
      </c>
    </row>
    <row r="37" spans="1:9" x14ac:dyDescent="0.2">
      <c r="A37" s="592" t="s">
        <v>386</v>
      </c>
      <c r="C37" s="29" t="s">
        <v>393</v>
      </c>
    </row>
    <row r="38" spans="1:9" x14ac:dyDescent="0.2">
      <c r="A38" s="592" t="s">
        <v>394</v>
      </c>
    </row>
    <row r="39" spans="1:9" x14ac:dyDescent="0.2">
      <c r="A39" t="s">
        <v>395</v>
      </c>
      <c r="B39" s="29"/>
      <c r="C39" t="s">
        <v>396</v>
      </c>
      <c r="I39" s="57" t="s">
        <v>401</v>
      </c>
    </row>
    <row r="40" spans="1:9" x14ac:dyDescent="0.2">
      <c r="B40" s="29"/>
    </row>
    <row r="41" spans="1:9" x14ac:dyDescent="0.2">
      <c r="A41" s="81" t="s">
        <v>35</v>
      </c>
    </row>
    <row r="42" spans="1:9" x14ac:dyDescent="0.2">
      <c r="A42" s="82"/>
    </row>
    <row r="43" spans="1:9" x14ac:dyDescent="0.2">
      <c r="A43" s="82" t="s">
        <v>36</v>
      </c>
    </row>
    <row r="51" spans="1:1" x14ac:dyDescent="0.2">
      <c r="A51" s="64"/>
    </row>
    <row r="52" spans="1:1" x14ac:dyDescent="0.2">
      <c r="A52" s="48"/>
    </row>
    <row r="53" spans="1:1" ht="14.25" x14ac:dyDescent="0.2">
      <c r="A53" s="80"/>
    </row>
    <row r="54" spans="1:1" ht="14.25" x14ac:dyDescent="0.2">
      <c r="A54" s="80"/>
    </row>
    <row r="55" spans="1:1" ht="14.25" x14ac:dyDescent="0.2">
      <c r="A55" s="80"/>
    </row>
    <row r="56" spans="1:1" ht="14.25" x14ac:dyDescent="0.2">
      <c r="A56" s="80"/>
    </row>
    <row r="57" spans="1:1" ht="14.25" x14ac:dyDescent="0.2">
      <c r="A57" s="80"/>
    </row>
    <row r="58" spans="1:1" ht="14.25" x14ac:dyDescent="0.2">
      <c r="A58" s="80"/>
    </row>
    <row r="59" spans="1:1" ht="14.25" x14ac:dyDescent="0.2">
      <c r="A59" s="80"/>
    </row>
    <row r="60" spans="1:1" ht="14.25" x14ac:dyDescent="0.2">
      <c r="A60" s="80"/>
    </row>
  </sheetData>
  <sheetProtection algorithmName="SHA-512" hashValue="FXDFY00/+k8wM/mT34Ww/5xaljezi6P02353v3loQ3NVT673K8XgLgYvm5fpSVglYYPLyd6MI+Uo8upXdkEMfw==" saltValue="tAQGv2fsZxnpvdtR91nQyg==" spinCount="100000" sheet="1" objects="1" scenarios="1"/>
  <hyperlinks>
    <hyperlink ref="I33" r:id="rId1" xr:uid="{DB4FC6E0-846C-4C60-8FE9-F2424B7890A3}"/>
    <hyperlink ref="I34" r:id="rId2" xr:uid="{7F9DDBFC-D142-49B0-B7BD-D9C25066D9B1}"/>
    <hyperlink ref="I35" r:id="rId3" xr:uid="{42D5F750-86E0-438F-B5D4-E0CDB9B1DDA0}"/>
    <hyperlink ref="I36" r:id="rId4" xr:uid="{AAA94436-160B-44B5-9A42-A0FD8AF72425}"/>
    <hyperlink ref="I39" r:id="rId5" xr:uid="{71D307F8-86D3-4478-8398-A5DFF028E685}"/>
  </hyperlinks>
  <pageMargins left="0.7" right="0.7" top="0.75" bottom="0.75" header="0.3" footer="0.3"/>
  <pageSetup scale="62"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X212"/>
  <sheetViews>
    <sheetView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9" t="s">
        <v>29</v>
      </c>
      <c r="E1" s="57"/>
    </row>
    <row r="2" spans="1:14" ht="8.25" customHeight="1" x14ac:dyDescent="0.2"/>
    <row r="3" spans="1:14" ht="15" customHeight="1" x14ac:dyDescent="0.2"/>
    <row r="4" spans="1:14" ht="8.25" customHeight="1" x14ac:dyDescent="0.2"/>
    <row r="5" spans="1:14" ht="18.75" customHeight="1" x14ac:dyDescent="0.25">
      <c r="A5" s="4" t="s">
        <v>331</v>
      </c>
      <c r="B5" s="2"/>
      <c r="D5" s="28"/>
      <c r="E5" s="286"/>
      <c r="F5" s="2"/>
      <c r="G5" s="2"/>
      <c r="H5" s="2"/>
      <c r="I5" s="2"/>
      <c r="J5" s="2"/>
      <c r="K5" s="2"/>
    </row>
    <row r="6" spans="1:14" ht="5.25" customHeight="1" x14ac:dyDescent="0.2">
      <c r="A6" s="2"/>
      <c r="B6" s="2"/>
      <c r="C6" s="2"/>
      <c r="D6" s="2"/>
      <c r="E6" s="2"/>
      <c r="F6" s="2"/>
      <c r="G6" s="2"/>
      <c r="H6" s="2"/>
      <c r="I6" s="2"/>
      <c r="J6" s="2"/>
      <c r="K6" s="2"/>
    </row>
    <row r="7" spans="1:14" x14ac:dyDescent="0.2">
      <c r="A7" s="44" t="s">
        <v>83</v>
      </c>
      <c r="B7" s="2"/>
      <c r="D7" s="2"/>
      <c r="E7" s="111"/>
      <c r="F7" s="2"/>
      <c r="G7" s="2"/>
      <c r="H7" s="2"/>
      <c r="I7" s="60"/>
      <c r="J7" s="2"/>
      <c r="K7" s="2"/>
    </row>
    <row r="8" spans="1:14" x14ac:dyDescent="0.2">
      <c r="A8" s="44" t="s">
        <v>229</v>
      </c>
      <c r="B8" s="2"/>
      <c r="D8" s="2"/>
      <c r="E8" s="340"/>
      <c r="F8" s="2"/>
      <c r="G8" s="2"/>
      <c r="H8" s="2"/>
      <c r="I8" s="2"/>
      <c r="J8" s="2"/>
      <c r="K8" s="2"/>
    </row>
    <row r="9" spans="1:14" x14ac:dyDescent="0.2">
      <c r="A9" s="44" t="s">
        <v>71</v>
      </c>
      <c r="B9" s="2"/>
      <c r="D9" s="2"/>
      <c r="E9" s="125"/>
      <c r="F9" s="2"/>
      <c r="G9" s="2"/>
      <c r="H9" s="2"/>
      <c r="I9" s="2"/>
      <c r="J9" s="2"/>
      <c r="K9" s="2"/>
    </row>
    <row r="10" spans="1:14" x14ac:dyDescent="0.2">
      <c r="A10" s="44"/>
      <c r="B10" s="2"/>
      <c r="C10" s="5"/>
      <c r="D10" s="2"/>
      <c r="E10" s="2"/>
      <c r="F10" s="2"/>
    </row>
    <row r="11" spans="1:14" ht="18" x14ac:dyDescent="0.25">
      <c r="A11" s="4" t="s">
        <v>344</v>
      </c>
      <c r="B11" s="594" t="s">
        <v>346</v>
      </c>
      <c r="C11" s="576"/>
      <c r="D11" s="2"/>
      <c r="E11" s="2"/>
      <c r="F11" s="2"/>
    </row>
    <row r="12" spans="1:14" x14ac:dyDescent="0.2">
      <c r="A12" s="178" t="s">
        <v>37</v>
      </c>
      <c r="B12" s="176"/>
      <c r="C12" s="177"/>
      <c r="D12" s="176"/>
      <c r="E12" s="176"/>
      <c r="F12" s="146"/>
    </row>
    <row r="13" spans="1:14" x14ac:dyDescent="0.2">
      <c r="A13" s="44"/>
      <c r="B13" s="310" t="s">
        <v>307</v>
      </c>
      <c r="C13" s="85" t="s">
        <v>308</v>
      </c>
      <c r="D13" s="310" t="s">
        <v>240</v>
      </c>
      <c r="E13" s="310" t="s">
        <v>237</v>
      </c>
      <c r="F13" s="2"/>
      <c r="H13" s="72" t="s">
        <v>171</v>
      </c>
      <c r="I13" s="72"/>
      <c r="J13" s="72"/>
      <c r="K13" s="72"/>
    </row>
    <row r="14" spans="1:14" x14ac:dyDescent="0.2">
      <c r="A14" s="67" t="s">
        <v>217</v>
      </c>
      <c r="B14" s="377">
        <v>0.15</v>
      </c>
      <c r="C14" s="240">
        <v>5.7</v>
      </c>
      <c r="D14" s="183">
        <v>200</v>
      </c>
      <c r="E14" s="339">
        <f>C14*D14</f>
        <v>1140</v>
      </c>
      <c r="F14" s="2"/>
      <c r="H14" s="29" t="s">
        <v>187</v>
      </c>
      <c r="J14" s="56"/>
      <c r="K14" s="56"/>
      <c r="L14" s="183">
        <v>185</v>
      </c>
      <c r="N14" s="29" t="s">
        <v>188</v>
      </c>
    </row>
    <row r="15" spans="1:14" x14ac:dyDescent="0.2">
      <c r="A15" s="67" t="s">
        <v>218</v>
      </c>
      <c r="B15" s="377">
        <v>0</v>
      </c>
      <c r="C15" s="240">
        <v>0</v>
      </c>
      <c r="D15" s="183">
        <v>0</v>
      </c>
      <c r="E15" s="339">
        <f>C15*D15</f>
        <v>0</v>
      </c>
      <c r="F15" s="2"/>
      <c r="H15" s="29" t="s">
        <v>185</v>
      </c>
      <c r="L15" s="577">
        <v>0.5</v>
      </c>
    </row>
    <row r="16" spans="1:14" x14ac:dyDescent="0.2">
      <c r="A16" s="67" t="s">
        <v>215</v>
      </c>
      <c r="B16" s="2"/>
      <c r="C16" s="407">
        <f>C14*(1-B14)</f>
        <v>4.8449999999999998</v>
      </c>
      <c r="D16" s="2"/>
      <c r="E16" s="328"/>
      <c r="F16" s="2"/>
      <c r="H16" s="29" t="s">
        <v>186</v>
      </c>
      <c r="L16" s="408">
        <f>(L14/0.87)*(1-L15)</f>
        <v>106.32183908045977</v>
      </c>
    </row>
    <row r="17" spans="1:24" x14ac:dyDescent="0.2">
      <c r="A17" s="67" t="s">
        <v>216</v>
      </c>
      <c r="B17" s="2"/>
      <c r="C17" s="407">
        <f>C15*(1-B15)</f>
        <v>0</v>
      </c>
      <c r="D17" s="2"/>
      <c r="E17" s="328"/>
      <c r="F17" s="2"/>
      <c r="H17" s="29"/>
      <c r="L17" s="331"/>
    </row>
    <row r="18" spans="1:24" x14ac:dyDescent="0.2">
      <c r="A18" s="229" t="s">
        <v>200</v>
      </c>
      <c r="B18" s="230"/>
      <c r="C18" s="226"/>
      <c r="D18" s="230"/>
      <c r="E18" s="341">
        <f>SUM(E14:E15)</f>
        <v>1140</v>
      </c>
      <c r="F18" s="2"/>
    </row>
    <row r="19" spans="1:24" x14ac:dyDescent="0.2">
      <c r="A19" s="178" t="s">
        <v>40</v>
      </c>
      <c r="B19" s="179"/>
      <c r="C19" s="180"/>
      <c r="D19" s="179"/>
      <c r="E19" s="179"/>
      <c r="F19" s="181"/>
    </row>
    <row r="20" spans="1:24" ht="12" customHeight="1" x14ac:dyDescent="0.2">
      <c r="A20" s="25"/>
      <c r="B20" s="7"/>
      <c r="C20" s="5"/>
      <c r="D20" s="7"/>
      <c r="E20" s="7"/>
      <c r="F20" s="2"/>
    </row>
    <row r="21" spans="1:24" x14ac:dyDescent="0.2">
      <c r="A21" s="168" t="s">
        <v>4</v>
      </c>
      <c r="B21" s="144"/>
      <c r="C21" s="167"/>
      <c r="D21" s="167"/>
      <c r="E21" s="167"/>
      <c r="F21" s="146"/>
      <c r="M21" s="56"/>
      <c r="N21" s="56"/>
      <c r="O21" s="56"/>
      <c r="P21" s="56"/>
    </row>
    <row r="22" spans="1:24" ht="15" customHeight="1" x14ac:dyDescent="0.2">
      <c r="A22" s="152" t="s">
        <v>88</v>
      </c>
      <c r="B22" s="153"/>
      <c r="C22" s="154"/>
      <c r="D22" s="154"/>
      <c r="E22" s="154"/>
      <c r="F22" s="151"/>
      <c r="G22" s="42"/>
      <c r="H22" s="108"/>
      <c r="I22" s="42"/>
      <c r="J22" s="108"/>
      <c r="K22" s="42"/>
      <c r="M22" s="73"/>
      <c r="N22" s="56"/>
      <c r="O22" s="56"/>
      <c r="P22" s="56"/>
    </row>
    <row r="23" spans="1:24" x14ac:dyDescent="0.2">
      <c r="A23" s="53"/>
      <c r="B23" s="91" t="s">
        <v>238</v>
      </c>
      <c r="C23" s="91" t="s">
        <v>239</v>
      </c>
      <c r="D23" s="91" t="s">
        <v>240</v>
      </c>
      <c r="E23" s="91" t="s">
        <v>241</v>
      </c>
      <c r="F23" s="2"/>
      <c r="G23" s="109"/>
      <c r="H23" s="100"/>
      <c r="I23" s="42"/>
      <c r="J23" s="100"/>
      <c r="K23" s="108"/>
      <c r="M23" s="73"/>
      <c r="N23" s="56"/>
      <c r="O23" s="56"/>
      <c r="P23" s="56"/>
    </row>
    <row r="24" spans="1:24" x14ac:dyDescent="0.2">
      <c r="A24" s="61" t="s">
        <v>304</v>
      </c>
      <c r="B24" s="297"/>
      <c r="C24" s="124">
        <v>0</v>
      </c>
      <c r="D24" s="140">
        <v>0</v>
      </c>
      <c r="E24" s="342">
        <f>((D24/2000)*B24*C24)</f>
        <v>0</v>
      </c>
      <c r="F24" s="2"/>
      <c r="G24" s="89"/>
      <c r="H24" s="10"/>
      <c r="I24" s="116"/>
      <c r="J24" s="10"/>
      <c r="K24" s="42"/>
      <c r="M24" s="56"/>
      <c r="N24" s="56"/>
      <c r="O24" s="73"/>
      <c r="P24" s="73"/>
      <c r="Q24" s="73"/>
      <c r="R24" s="73"/>
      <c r="S24" s="56"/>
      <c r="T24" s="56"/>
      <c r="U24" s="56"/>
      <c r="V24" s="56"/>
      <c r="W24" s="56"/>
      <c r="X24" s="56"/>
    </row>
    <row r="25" spans="1:24" x14ac:dyDescent="0.2">
      <c r="A25" s="61"/>
      <c r="B25" s="63"/>
      <c r="C25" s="75"/>
      <c r="D25" s="17"/>
      <c r="E25" s="74"/>
      <c r="F25" s="2"/>
      <c r="G25" s="89"/>
      <c r="H25" s="10"/>
      <c r="I25" s="116"/>
      <c r="J25" s="10"/>
      <c r="K25" s="42"/>
      <c r="M25" s="56"/>
      <c r="N25" s="56"/>
      <c r="O25" s="73"/>
      <c r="P25" s="73"/>
      <c r="Q25" s="73"/>
      <c r="R25" s="73"/>
      <c r="S25" s="56"/>
      <c r="T25" s="56"/>
      <c r="U25" s="56"/>
      <c r="V25" s="56"/>
      <c r="W25" s="56"/>
      <c r="X25" s="56"/>
    </row>
    <row r="26" spans="1:24" x14ac:dyDescent="0.2">
      <c r="A26" s="53"/>
      <c r="C26" s="91" t="s">
        <v>87</v>
      </c>
      <c r="D26" s="91" t="s">
        <v>240</v>
      </c>
      <c r="E26" s="91" t="s">
        <v>241</v>
      </c>
      <c r="F26" s="2"/>
      <c r="G26" s="109"/>
      <c r="H26" s="100"/>
      <c r="I26" s="42"/>
      <c r="J26" s="100"/>
      <c r="K26" s="108"/>
      <c r="M26" s="73"/>
      <c r="N26" s="56"/>
      <c r="O26" s="56"/>
      <c r="P26" s="56"/>
    </row>
    <row r="27" spans="1:24" x14ac:dyDescent="0.2">
      <c r="A27" s="298" t="s">
        <v>172</v>
      </c>
      <c r="B27" s="7"/>
      <c r="C27" s="112">
        <v>100</v>
      </c>
      <c r="D27" s="140">
        <v>760</v>
      </c>
      <c r="E27" s="343">
        <f>C27*(D27/2000)</f>
        <v>38</v>
      </c>
      <c r="F27" s="2"/>
      <c r="G27" s="14"/>
      <c r="H27" s="3"/>
      <c r="I27" s="42"/>
      <c r="J27" s="90"/>
      <c r="K27" s="42"/>
    </row>
    <row r="28" spans="1:24" x14ac:dyDescent="0.2">
      <c r="A28" s="298" t="s">
        <v>66</v>
      </c>
      <c r="B28" s="7"/>
      <c r="C28" s="123"/>
      <c r="D28" s="140">
        <v>0</v>
      </c>
      <c r="E28" s="344">
        <f>C28*(D28/2000)</f>
        <v>0</v>
      </c>
      <c r="F28" s="2"/>
      <c r="G28" s="14"/>
      <c r="H28" s="3"/>
      <c r="I28" s="42"/>
      <c r="J28" s="90"/>
      <c r="K28" s="42"/>
    </row>
    <row r="29" spans="1:24" x14ac:dyDescent="0.2">
      <c r="A29" s="299" t="s">
        <v>66</v>
      </c>
      <c r="B29" s="7"/>
      <c r="C29" s="123"/>
      <c r="D29" s="281"/>
      <c r="E29" s="344">
        <f>C29*(D29/2000)</f>
        <v>0</v>
      </c>
      <c r="F29" s="2"/>
      <c r="G29" s="14"/>
      <c r="H29" s="3"/>
      <c r="I29" s="42"/>
      <c r="J29" s="90"/>
      <c r="K29" s="42"/>
    </row>
    <row r="30" spans="1:24" x14ac:dyDescent="0.2">
      <c r="A30" s="298"/>
      <c r="B30" s="11"/>
      <c r="C30" s="112"/>
      <c r="D30" s="140"/>
      <c r="E30" s="343">
        <f>C30*(D30/2000)</f>
        <v>0</v>
      </c>
      <c r="F30" s="2"/>
      <c r="G30" s="14"/>
      <c r="H30" s="3"/>
      <c r="I30" s="42"/>
      <c r="J30" s="90"/>
      <c r="K30" s="42"/>
    </row>
    <row r="31" spans="1:24" x14ac:dyDescent="0.2">
      <c r="A31" s="147"/>
      <c r="B31" s="148"/>
      <c r="C31" s="65"/>
      <c r="D31" s="169"/>
      <c r="E31" s="145"/>
      <c r="F31" s="2"/>
      <c r="G31" s="14"/>
      <c r="H31" s="3"/>
      <c r="I31" s="42"/>
      <c r="J31" s="90"/>
      <c r="K31" s="42"/>
    </row>
    <row r="32" spans="1:24" ht="14.25" customHeight="1" x14ac:dyDescent="0.2">
      <c r="A32" s="149" t="s">
        <v>135</v>
      </c>
      <c r="B32" s="150"/>
      <c r="C32" s="231"/>
      <c r="D32" s="232"/>
      <c r="E32" s="232"/>
      <c r="F32" s="151"/>
      <c r="G32" s="2"/>
      <c r="H32" s="2"/>
      <c r="I32" s="2"/>
      <c r="J32" s="2"/>
      <c r="K32" s="2"/>
      <c r="L32" s="56"/>
      <c r="M32" s="56"/>
      <c r="N32" s="56"/>
      <c r="O32" s="56"/>
      <c r="P32" s="56"/>
      <c r="Q32" s="56"/>
      <c r="R32" s="56"/>
      <c r="S32" s="56"/>
      <c r="T32" s="56"/>
    </row>
    <row r="33" spans="1:20" ht="14.25" customHeight="1" x14ac:dyDescent="0.2">
      <c r="A33" s="76" t="s">
        <v>305</v>
      </c>
      <c r="B33" s="2"/>
      <c r="C33" s="311" t="s">
        <v>68</v>
      </c>
      <c r="D33" s="310" t="s">
        <v>69</v>
      </c>
      <c r="E33" s="91" t="s">
        <v>241</v>
      </c>
      <c r="F33" s="2"/>
      <c r="G33" s="2"/>
      <c r="H33" s="2"/>
      <c r="I33" s="2"/>
      <c r="J33" s="2"/>
      <c r="K33" s="2"/>
      <c r="L33" s="56"/>
      <c r="M33" s="56"/>
      <c r="N33" s="56"/>
      <c r="O33" s="56"/>
      <c r="P33" s="56"/>
      <c r="Q33" s="56"/>
      <c r="R33" s="56"/>
      <c r="S33" s="56"/>
      <c r="T33" s="56"/>
    </row>
    <row r="34" spans="1:20" ht="14.25" customHeight="1" x14ac:dyDescent="0.2">
      <c r="A34" s="291" t="s">
        <v>14</v>
      </c>
      <c r="B34" s="251"/>
      <c r="C34" s="112">
        <v>0</v>
      </c>
      <c r="D34" s="140">
        <v>1.18</v>
      </c>
      <c r="E34" s="343">
        <f>C34*D34</f>
        <v>0</v>
      </c>
      <c r="F34" s="2"/>
      <c r="G34" s="2"/>
      <c r="H34" s="2"/>
      <c r="I34" s="2"/>
      <c r="J34" s="2"/>
      <c r="K34" s="2"/>
      <c r="L34" s="56"/>
      <c r="M34" s="56"/>
      <c r="N34" s="56"/>
      <c r="O34" s="56"/>
      <c r="P34" s="56"/>
      <c r="Q34" s="56"/>
      <c r="R34" s="56"/>
      <c r="S34" s="56"/>
      <c r="T34" s="56"/>
    </row>
    <row r="35" spans="1:20" ht="14.25" customHeight="1" x14ac:dyDescent="0.2">
      <c r="A35" s="312" t="s">
        <v>15</v>
      </c>
      <c r="B35" s="11"/>
      <c r="C35" s="112"/>
      <c r="D35" s="140"/>
      <c r="E35" s="343">
        <f t="shared" ref="E35:E37" si="0">C35*D35</f>
        <v>0</v>
      </c>
      <c r="F35" s="2"/>
      <c r="G35" s="2"/>
      <c r="H35" s="2"/>
      <c r="I35" s="2"/>
      <c r="J35" s="2"/>
      <c r="K35" s="2"/>
      <c r="L35" s="56"/>
      <c r="M35" s="56"/>
      <c r="N35" s="56"/>
      <c r="O35" s="56"/>
      <c r="P35" s="56"/>
      <c r="Q35" s="56"/>
      <c r="R35" s="56"/>
      <c r="S35" s="56"/>
      <c r="T35" s="56"/>
    </row>
    <row r="36" spans="1:20" ht="13.5" customHeight="1" x14ac:dyDescent="0.2">
      <c r="A36" s="312" t="s">
        <v>16</v>
      </c>
      <c r="B36" s="11"/>
      <c r="C36" s="112"/>
      <c r="D36" s="140"/>
      <c r="E36" s="343">
        <f t="shared" si="0"/>
        <v>0</v>
      </c>
      <c r="F36" s="2"/>
      <c r="G36" s="117"/>
      <c r="H36" s="118"/>
      <c r="I36" s="118"/>
      <c r="J36" s="99"/>
      <c r="K36" s="108"/>
      <c r="L36" s="108"/>
    </row>
    <row r="37" spans="1:20" ht="14.25" customHeight="1" x14ac:dyDescent="0.2">
      <c r="A37" s="313" t="s">
        <v>17</v>
      </c>
      <c r="B37" s="11"/>
      <c r="C37" s="112"/>
      <c r="D37" s="140"/>
      <c r="E37" s="344">
        <f t="shared" si="0"/>
        <v>0</v>
      </c>
      <c r="F37" s="2"/>
      <c r="G37" s="27"/>
      <c r="H37" s="10"/>
      <c r="I37" s="10"/>
      <c r="J37" s="10"/>
      <c r="K37" s="10"/>
      <c r="M37" s="56"/>
    </row>
    <row r="38" spans="1:20" ht="14.25" customHeight="1" x14ac:dyDescent="0.2">
      <c r="A38" s="289" t="s">
        <v>86</v>
      </c>
      <c r="B38" s="11"/>
      <c r="C38" s="65"/>
      <c r="D38" s="145"/>
      <c r="E38" s="300">
        <v>0</v>
      </c>
      <c r="F38" s="2"/>
      <c r="G38" s="27"/>
      <c r="H38" s="10"/>
      <c r="I38" s="10"/>
      <c r="J38" s="10"/>
      <c r="K38" s="10"/>
      <c r="M38" s="56"/>
    </row>
    <row r="39" spans="1:20" ht="14.25" customHeight="1" x14ac:dyDescent="0.2">
      <c r="A39" s="130" t="s">
        <v>136</v>
      </c>
      <c r="B39" s="129"/>
      <c r="C39" s="65"/>
      <c r="D39" s="145"/>
      <c r="E39" s="140">
        <v>0</v>
      </c>
      <c r="F39" s="2"/>
      <c r="G39" s="27"/>
      <c r="H39" s="10"/>
      <c r="I39" s="10"/>
      <c r="J39" s="10"/>
      <c r="K39" s="10"/>
      <c r="M39" s="56"/>
    </row>
    <row r="40" spans="1:20" ht="14.25" x14ac:dyDescent="0.25">
      <c r="A40" s="51"/>
      <c r="B40" s="11"/>
      <c r="C40" s="12" t="s">
        <v>194</v>
      </c>
      <c r="D40" s="318" t="s">
        <v>266</v>
      </c>
      <c r="E40" s="74"/>
      <c r="F40" s="2"/>
      <c r="G40" s="109"/>
      <c r="H40" s="13"/>
      <c r="I40" s="10"/>
      <c r="J40" s="13"/>
      <c r="K40" s="13"/>
      <c r="L40" s="42"/>
      <c r="M40" s="56"/>
    </row>
    <row r="41" spans="1:20" x14ac:dyDescent="0.2">
      <c r="A41" s="314" t="s">
        <v>193</v>
      </c>
      <c r="C41" s="112">
        <v>0</v>
      </c>
      <c r="D41" s="300"/>
      <c r="E41" s="345">
        <f t="shared" ref="E41" si="1">C41*D41</f>
        <v>0</v>
      </c>
      <c r="F41" s="2"/>
      <c r="G41" s="89"/>
      <c r="H41" s="10"/>
      <c r="I41" s="13"/>
      <c r="J41" s="13"/>
      <c r="K41" s="13"/>
      <c r="L41" s="42"/>
    </row>
    <row r="42" spans="1:20" ht="14.25" customHeight="1" x14ac:dyDescent="0.25">
      <c r="A42" s="61"/>
      <c r="B42" s="11"/>
      <c r="C42" s="310" t="s">
        <v>195</v>
      </c>
      <c r="D42" s="318" t="s">
        <v>265</v>
      </c>
      <c r="E42" s="74"/>
      <c r="F42" s="2"/>
      <c r="G42" s="14"/>
      <c r="H42" s="10"/>
      <c r="I42" s="13"/>
      <c r="J42" s="13"/>
      <c r="K42" s="100"/>
      <c r="L42" s="42"/>
      <c r="M42" s="56"/>
      <c r="N42" s="56"/>
      <c r="O42" s="56"/>
      <c r="P42" s="56"/>
      <c r="Q42" s="56"/>
    </row>
    <row r="43" spans="1:20" ht="14.25" customHeight="1" x14ac:dyDescent="0.2">
      <c r="A43" s="315" t="s">
        <v>13</v>
      </c>
      <c r="C43" s="112">
        <v>300</v>
      </c>
      <c r="D43" s="140">
        <v>0.71</v>
      </c>
      <c r="E43" s="343">
        <f>C43*D43</f>
        <v>213</v>
      </c>
      <c r="F43" s="2"/>
      <c r="G43" s="117"/>
      <c r="H43" s="118"/>
      <c r="I43" s="119"/>
      <c r="J43" s="119"/>
      <c r="K43" s="98"/>
      <c r="L43" s="99"/>
    </row>
    <row r="44" spans="1:20" ht="14.25" customHeight="1" x14ac:dyDescent="0.2">
      <c r="A44" s="6"/>
      <c r="B44" s="2"/>
      <c r="C44" s="19"/>
      <c r="D44" s="2"/>
      <c r="E44" s="2"/>
      <c r="F44" s="2"/>
      <c r="G44" s="14"/>
      <c r="H44" s="3"/>
      <c r="I44" s="3"/>
      <c r="J44" s="3"/>
      <c r="K44" s="3"/>
      <c r="L44" s="3"/>
    </row>
    <row r="45" spans="1:20" ht="14.25" customHeight="1" x14ac:dyDescent="0.2">
      <c r="A45" s="289" t="s">
        <v>133</v>
      </c>
      <c r="B45" s="11"/>
      <c r="C45" s="16"/>
      <c r="D45" s="17"/>
      <c r="E45" s="140">
        <v>0</v>
      </c>
      <c r="F45" s="2"/>
      <c r="G45" s="27"/>
      <c r="H45" s="10"/>
      <c r="I45" s="10"/>
      <c r="J45" s="10"/>
      <c r="K45" s="10"/>
      <c r="L45" s="10"/>
    </row>
    <row r="46" spans="1:20" ht="14.25" customHeight="1" x14ac:dyDescent="0.2">
      <c r="A46" s="238"/>
      <c r="B46" s="11"/>
      <c r="C46" s="16"/>
      <c r="D46" s="17"/>
      <c r="E46" s="156"/>
      <c r="F46" s="2"/>
      <c r="G46" s="27"/>
      <c r="H46" s="10"/>
      <c r="I46" s="10"/>
      <c r="J46" s="10"/>
      <c r="K46" s="10"/>
      <c r="L46" s="10"/>
    </row>
    <row r="47" spans="1:20" ht="14.25" customHeight="1" x14ac:dyDescent="0.2">
      <c r="A47" s="289" t="s">
        <v>7</v>
      </c>
      <c r="B47" s="11"/>
      <c r="C47" s="16"/>
      <c r="D47" s="17"/>
      <c r="E47" s="140">
        <v>0</v>
      </c>
      <c r="F47" s="2"/>
      <c r="G47" s="27"/>
      <c r="H47" s="10"/>
      <c r="I47" s="10"/>
      <c r="J47" s="10"/>
      <c r="K47" s="10"/>
      <c r="L47" s="10"/>
    </row>
    <row r="48" spans="1:20" ht="14.25" customHeight="1" x14ac:dyDescent="0.2">
      <c r="A48" s="289"/>
      <c r="B48" s="11"/>
      <c r="C48" s="16"/>
      <c r="D48" s="17"/>
      <c r="E48" s="140">
        <v>0</v>
      </c>
      <c r="F48" s="2"/>
      <c r="G48" s="27"/>
      <c r="H48" s="10"/>
      <c r="I48" s="10"/>
      <c r="J48" s="10"/>
      <c r="K48" s="10"/>
      <c r="L48" s="10"/>
    </row>
    <row r="49" spans="1:19" ht="14.25" customHeight="1" x14ac:dyDescent="0.2">
      <c r="A49" s="289"/>
      <c r="B49" s="11"/>
      <c r="C49" s="16"/>
      <c r="D49" s="17"/>
      <c r="E49" s="140">
        <v>0</v>
      </c>
      <c r="F49" s="2"/>
      <c r="G49" s="27"/>
      <c r="H49" s="10"/>
      <c r="I49" s="10"/>
      <c r="J49" s="10"/>
      <c r="K49" s="10"/>
      <c r="L49" s="10"/>
    </row>
    <row r="50" spans="1:19" ht="14.25" customHeight="1" x14ac:dyDescent="0.2">
      <c r="A50" s="52" t="s">
        <v>248</v>
      </c>
      <c r="B50" s="155"/>
      <c r="C50" s="316" t="s">
        <v>72</v>
      </c>
      <c r="D50" s="85" t="s">
        <v>256</v>
      </c>
      <c r="E50" s="17"/>
      <c r="F50" s="2"/>
      <c r="G50" s="27"/>
      <c r="H50" s="10"/>
      <c r="I50" s="10"/>
      <c r="J50" s="10"/>
      <c r="K50" s="10"/>
      <c r="L50" s="10"/>
    </row>
    <row r="51" spans="1:19" ht="14.25" customHeight="1" x14ac:dyDescent="0.2">
      <c r="A51" s="289" t="s">
        <v>89</v>
      </c>
      <c r="B51" s="20"/>
      <c r="C51" s="112">
        <v>2</v>
      </c>
      <c r="D51" s="140">
        <v>8</v>
      </c>
      <c r="E51" s="343">
        <f>D51*C51</f>
        <v>16</v>
      </c>
      <c r="F51" s="2"/>
      <c r="G51" s="27"/>
      <c r="H51" s="10"/>
      <c r="I51" s="10"/>
      <c r="J51" s="10"/>
      <c r="K51" s="10"/>
      <c r="L51" s="10"/>
    </row>
    <row r="52" spans="1:19" ht="14.25" customHeight="1" x14ac:dyDescent="0.2">
      <c r="A52" s="289"/>
      <c r="B52" s="20"/>
      <c r="C52" s="112"/>
      <c r="D52" s="140"/>
      <c r="E52" s="343">
        <f t="shared" ref="E52:E53" si="2">D52*C52</f>
        <v>0</v>
      </c>
      <c r="F52" s="2"/>
      <c r="G52" s="27"/>
      <c r="H52" s="10"/>
      <c r="I52" s="10"/>
      <c r="J52" s="10"/>
      <c r="K52" s="10"/>
      <c r="L52" s="10"/>
    </row>
    <row r="53" spans="1:19" ht="14.25" customHeight="1" x14ac:dyDescent="0.2">
      <c r="A53" s="289"/>
      <c r="B53" s="20"/>
      <c r="C53" s="112"/>
      <c r="D53" s="140"/>
      <c r="E53" s="343">
        <f t="shared" si="2"/>
        <v>0</v>
      </c>
      <c r="F53" s="2"/>
      <c r="G53" s="27"/>
      <c r="H53" s="10"/>
      <c r="I53" s="10"/>
      <c r="J53" s="10"/>
      <c r="K53" s="10"/>
      <c r="L53" s="10"/>
    </row>
    <row r="54" spans="1:19" ht="14.25" customHeight="1" x14ac:dyDescent="0.2">
      <c r="A54" s="52"/>
      <c r="B54" s="11"/>
      <c r="C54" s="16"/>
      <c r="D54" s="17"/>
      <c r="E54" s="17"/>
      <c r="F54" s="2"/>
      <c r="G54" s="27"/>
      <c r="H54" s="10"/>
      <c r="I54" s="10"/>
      <c r="J54" s="10"/>
      <c r="K54" s="10"/>
      <c r="L54" s="10"/>
    </row>
    <row r="55" spans="1:19" x14ac:dyDescent="0.2">
      <c r="A55" s="6"/>
      <c r="B55" s="12" t="s">
        <v>263</v>
      </c>
      <c r="C55" s="12" t="s">
        <v>264</v>
      </c>
      <c r="D55" s="85" t="s">
        <v>240</v>
      </c>
      <c r="E55" s="91" t="s">
        <v>241</v>
      </c>
      <c r="F55" s="2"/>
    </row>
    <row r="56" spans="1:19" x14ac:dyDescent="0.2">
      <c r="A56" s="11" t="s">
        <v>80</v>
      </c>
      <c r="B56" s="301">
        <v>3</v>
      </c>
      <c r="C56" s="113">
        <v>3</v>
      </c>
      <c r="D56" s="183">
        <v>29</v>
      </c>
      <c r="E56" s="343">
        <f>(D56*C56)/B56</f>
        <v>29</v>
      </c>
      <c r="F56" s="2"/>
      <c r="H56" s="126"/>
      <c r="I56" s="56"/>
      <c r="J56" s="56"/>
      <c r="K56" s="56"/>
      <c r="L56" s="56"/>
      <c r="M56" s="56"/>
      <c r="N56" s="56"/>
      <c r="O56" s="56"/>
      <c r="P56" s="56"/>
      <c r="Q56" s="56"/>
      <c r="R56" s="56"/>
      <c r="S56" s="56"/>
    </row>
    <row r="57" spans="1:19" x14ac:dyDescent="0.2">
      <c r="A57" s="31"/>
      <c r="B57" s="185"/>
      <c r="C57" s="184"/>
      <c r="D57" s="319" t="s">
        <v>241</v>
      </c>
      <c r="E57" s="156"/>
      <c r="F57" s="2"/>
      <c r="H57" s="126"/>
      <c r="I57" s="56"/>
      <c r="J57" s="56"/>
      <c r="K57" s="56"/>
      <c r="L57" s="56"/>
      <c r="M57" s="56"/>
      <c r="N57" s="56"/>
      <c r="O57" s="56"/>
      <c r="P57" s="56"/>
      <c r="Q57" s="56"/>
      <c r="R57" s="56"/>
      <c r="S57" s="56"/>
    </row>
    <row r="58" spans="1:19" x14ac:dyDescent="0.2">
      <c r="A58" s="252" t="s">
        <v>98</v>
      </c>
      <c r="B58" s="20"/>
      <c r="C58" s="182"/>
      <c r="D58" s="183">
        <v>34.5</v>
      </c>
      <c r="E58" s="343">
        <f>D58/B56</f>
        <v>11.5</v>
      </c>
      <c r="F58" s="2"/>
      <c r="H58" s="126"/>
      <c r="I58" s="56"/>
      <c r="J58" s="56"/>
      <c r="K58" s="56"/>
      <c r="L58" s="56"/>
      <c r="M58" s="56"/>
      <c r="N58" s="56"/>
      <c r="O58" s="56"/>
      <c r="P58" s="56"/>
      <c r="Q58" s="56"/>
      <c r="R58" s="56"/>
      <c r="S58" s="56"/>
    </row>
    <row r="59" spans="1:19" x14ac:dyDescent="0.2">
      <c r="A59" s="31"/>
      <c r="B59" s="133"/>
      <c r="C59" s="135"/>
      <c r="D59" s="3"/>
      <c r="E59" s="10"/>
      <c r="F59" s="2"/>
      <c r="H59" s="126"/>
      <c r="I59" s="56"/>
      <c r="J59" s="56"/>
      <c r="K59" s="56"/>
      <c r="L59" s="56"/>
      <c r="M59" s="56"/>
      <c r="N59" s="56"/>
      <c r="O59" s="56"/>
      <c r="P59" s="56"/>
      <c r="Q59" s="56"/>
      <c r="R59" s="56"/>
      <c r="S59" s="56"/>
    </row>
    <row r="60" spans="1:19" x14ac:dyDescent="0.2">
      <c r="A60" s="229" t="s">
        <v>198</v>
      </c>
      <c r="B60" s="230"/>
      <c r="C60" s="230"/>
      <c r="D60" s="230"/>
      <c r="E60" s="341">
        <f>SUM(E24:E59)</f>
        <v>307.5</v>
      </c>
      <c r="F60" s="2"/>
      <c r="G60" s="52"/>
      <c r="H60" s="52"/>
      <c r="I60" s="56"/>
      <c r="J60" s="56"/>
      <c r="K60" s="56"/>
      <c r="L60" s="56"/>
      <c r="M60" s="56"/>
      <c r="N60" s="56"/>
      <c r="O60" s="56"/>
      <c r="P60" s="56"/>
      <c r="Q60" s="56"/>
      <c r="R60" s="56"/>
      <c r="S60" s="56"/>
    </row>
    <row r="61" spans="1:19" x14ac:dyDescent="0.2">
      <c r="A61" s="166" t="s">
        <v>94</v>
      </c>
      <c r="B61" s="146"/>
      <c r="C61" s="146"/>
      <c r="D61" s="146"/>
      <c r="E61" s="146"/>
      <c r="F61" s="146"/>
      <c r="G61" s="52"/>
      <c r="H61" s="52"/>
      <c r="I61" s="56"/>
      <c r="J61" s="56"/>
      <c r="K61" s="56"/>
      <c r="L61" s="56"/>
      <c r="M61" s="56"/>
      <c r="N61" s="56"/>
      <c r="O61" s="56"/>
      <c r="P61" s="56"/>
      <c r="Q61" s="56"/>
      <c r="R61" s="56"/>
      <c r="S61" s="56"/>
    </row>
    <row r="62" spans="1:19" x14ac:dyDescent="0.2">
      <c r="A62" s="287" t="s">
        <v>183</v>
      </c>
      <c r="B62" s="101">
        <v>1</v>
      </c>
      <c r="C62" s="58"/>
      <c r="D62" s="58"/>
      <c r="E62" s="58"/>
      <c r="F62" s="58"/>
      <c r="G62" s="52"/>
      <c r="H62" s="52"/>
      <c r="I62" s="56"/>
      <c r="J62" s="56"/>
      <c r="K62" s="56"/>
      <c r="L62" s="56"/>
      <c r="M62" s="56"/>
      <c r="N62" s="56"/>
      <c r="O62" s="56"/>
      <c r="P62" s="56"/>
      <c r="Q62" s="56"/>
      <c r="R62" s="56"/>
      <c r="S62" s="56"/>
    </row>
    <row r="63" spans="1:19" x14ac:dyDescent="0.2">
      <c r="A63" s="26"/>
      <c r="B63" s="7"/>
      <c r="C63" s="317" t="s">
        <v>314</v>
      </c>
      <c r="D63" s="317" t="s">
        <v>315</v>
      </c>
      <c r="E63" s="91" t="s">
        <v>241</v>
      </c>
      <c r="F63" s="2"/>
      <c r="G63" s="52"/>
      <c r="H63" s="52"/>
      <c r="I63" s="56"/>
      <c r="J63" s="56"/>
      <c r="K63" s="56"/>
      <c r="L63" s="56"/>
      <c r="M63" s="56"/>
      <c r="N63" s="56"/>
      <c r="O63" s="56"/>
      <c r="P63" s="56"/>
      <c r="Q63" s="56"/>
      <c r="R63" s="56"/>
      <c r="S63" s="56"/>
    </row>
    <row r="64" spans="1:19" x14ac:dyDescent="0.2">
      <c r="A64" s="289" t="s">
        <v>173</v>
      </c>
      <c r="B64" s="63"/>
      <c r="C64" s="112">
        <v>15</v>
      </c>
      <c r="D64" s="254">
        <v>350</v>
      </c>
      <c r="E64" s="343">
        <f>((C64/50)*D64)/$B$62</f>
        <v>105</v>
      </c>
      <c r="F64" s="2"/>
      <c r="G64" s="53"/>
      <c r="H64" s="127"/>
      <c r="I64" s="58"/>
      <c r="J64" s="58"/>
      <c r="K64" s="58"/>
      <c r="L64" s="56"/>
      <c r="M64" s="56"/>
      <c r="N64" s="56"/>
      <c r="O64" s="56"/>
      <c r="P64" s="56"/>
      <c r="Q64" s="56"/>
      <c r="R64" s="56"/>
      <c r="S64" s="56"/>
    </row>
    <row r="65" spans="1:23" x14ac:dyDescent="0.2">
      <c r="A65" s="289" t="s">
        <v>175</v>
      </c>
      <c r="B65" s="63"/>
      <c r="C65" s="112"/>
      <c r="D65" s="254"/>
      <c r="E65" s="343">
        <f t="shared" ref="E65:E67" si="3">((C65/50)*D65)/$B$62</f>
        <v>0</v>
      </c>
      <c r="F65" s="2"/>
      <c r="G65" s="53"/>
      <c r="H65" s="127"/>
      <c r="I65" s="58"/>
      <c r="J65" s="58"/>
      <c r="K65" s="58"/>
      <c r="L65" s="56"/>
      <c r="M65" s="56"/>
      <c r="N65" s="56"/>
      <c r="O65" s="56"/>
      <c r="P65" s="56"/>
      <c r="Q65" s="56"/>
      <c r="R65" s="56"/>
      <c r="S65" s="56"/>
    </row>
    <row r="66" spans="1:23" x14ac:dyDescent="0.2">
      <c r="A66" s="289"/>
      <c r="B66" s="63"/>
      <c r="C66" s="112"/>
      <c r="D66" s="254"/>
      <c r="E66" s="343">
        <f t="shared" si="3"/>
        <v>0</v>
      </c>
      <c r="F66" s="2"/>
      <c r="G66" s="53"/>
      <c r="H66" s="127"/>
      <c r="I66" s="58"/>
      <c r="J66" s="58"/>
      <c r="K66" s="58"/>
      <c r="L66" s="56"/>
      <c r="M66" s="56"/>
      <c r="N66" s="56"/>
      <c r="O66" s="56"/>
      <c r="P66" s="56"/>
      <c r="Q66" s="56"/>
      <c r="R66" s="56"/>
      <c r="S66" s="56"/>
    </row>
    <row r="67" spans="1:23" x14ac:dyDescent="0.2">
      <c r="A67" s="101"/>
      <c r="B67" s="63"/>
      <c r="C67" s="112"/>
      <c r="D67" s="254"/>
      <c r="E67" s="343">
        <f t="shared" si="3"/>
        <v>0</v>
      </c>
      <c r="F67" s="2"/>
      <c r="G67" s="53"/>
      <c r="H67" s="127"/>
      <c r="I67" s="58"/>
      <c r="J67" s="58"/>
      <c r="K67" s="58"/>
      <c r="L67" s="56"/>
      <c r="M67" s="56"/>
      <c r="N67" s="56"/>
      <c r="O67" s="56"/>
      <c r="P67" s="56"/>
      <c r="Q67" s="56"/>
      <c r="R67" s="56"/>
      <c r="S67" s="56"/>
    </row>
    <row r="68" spans="1:23" x14ac:dyDescent="0.2">
      <c r="A68" s="27"/>
      <c r="B68" s="9"/>
      <c r="C68" s="310" t="s">
        <v>299</v>
      </c>
      <c r="D68" s="317" t="s">
        <v>236</v>
      </c>
      <c r="E68" s="91" t="s">
        <v>241</v>
      </c>
      <c r="F68" s="2"/>
      <c r="G68" s="56"/>
      <c r="H68" s="56"/>
      <c r="I68" s="58"/>
      <c r="J68" s="58"/>
      <c r="K68" s="58"/>
      <c r="L68" s="56"/>
      <c r="M68" s="56"/>
      <c r="N68" s="56"/>
      <c r="O68" s="56"/>
      <c r="P68" s="56"/>
      <c r="Q68" s="56"/>
      <c r="R68" s="56"/>
      <c r="S68" s="56"/>
      <c r="T68" s="56"/>
      <c r="U68" s="56"/>
      <c r="V68" s="56"/>
      <c r="W68" s="56"/>
    </row>
    <row r="69" spans="1:23" x14ac:dyDescent="0.2">
      <c r="A69" s="76" t="s">
        <v>347</v>
      </c>
      <c r="B69" s="77"/>
      <c r="C69" s="123">
        <v>2</v>
      </c>
      <c r="D69" s="255"/>
      <c r="E69" s="346">
        <f>D69*C69</f>
        <v>0</v>
      </c>
      <c r="F69" s="2"/>
      <c r="G69" s="56"/>
      <c r="H69" s="56"/>
      <c r="I69" s="58"/>
      <c r="J69" s="58"/>
      <c r="K69" s="58"/>
      <c r="L69" s="56"/>
      <c r="M69" s="56"/>
      <c r="N69" s="56"/>
      <c r="O69" s="56"/>
      <c r="P69" s="56"/>
      <c r="Q69" s="56"/>
      <c r="R69" s="56"/>
      <c r="S69" s="56"/>
      <c r="T69" s="56"/>
      <c r="U69" s="56"/>
      <c r="V69" s="56"/>
      <c r="W69" s="56"/>
    </row>
    <row r="70" spans="1:23" x14ac:dyDescent="0.2">
      <c r="A70" s="76" t="s">
        <v>347</v>
      </c>
      <c r="B70" s="77"/>
      <c r="C70" s="112"/>
      <c r="D70" s="254"/>
      <c r="E70" s="565">
        <f>D70*C70</f>
        <v>0</v>
      </c>
      <c r="F70" s="2"/>
      <c r="G70" s="56"/>
      <c r="H70" s="56"/>
      <c r="I70" s="58"/>
      <c r="J70" s="58"/>
      <c r="K70" s="58"/>
      <c r="L70" s="56"/>
      <c r="M70" s="56"/>
      <c r="N70" s="56"/>
      <c r="O70" s="56"/>
      <c r="P70" s="56"/>
      <c r="Q70" s="56"/>
      <c r="R70" s="56"/>
      <c r="S70" s="56"/>
      <c r="T70" s="56"/>
      <c r="U70" s="56"/>
      <c r="V70" s="56"/>
      <c r="W70" s="56"/>
    </row>
    <row r="71" spans="1:23" x14ac:dyDescent="0.2">
      <c r="A71" s="76"/>
      <c r="B71" s="77"/>
      <c r="C71" s="320" t="s">
        <v>261</v>
      </c>
      <c r="D71" s="332" t="s">
        <v>262</v>
      </c>
      <c r="E71" s="322" t="s">
        <v>241</v>
      </c>
      <c r="F71" s="2"/>
      <c r="G71" s="56"/>
      <c r="H71" s="56"/>
      <c r="I71" s="58"/>
      <c r="J71" s="58"/>
      <c r="K71" s="58"/>
      <c r="L71" s="56"/>
      <c r="M71" s="56"/>
      <c r="N71" s="56"/>
      <c r="O71" s="56"/>
      <c r="P71" s="56"/>
      <c r="Q71" s="56"/>
      <c r="R71" s="56"/>
      <c r="S71" s="56"/>
      <c r="T71" s="56"/>
      <c r="U71" s="56"/>
      <c r="V71" s="56"/>
      <c r="W71" s="56"/>
    </row>
    <row r="72" spans="1:23" x14ac:dyDescent="0.2">
      <c r="A72" s="76" t="s">
        <v>347</v>
      </c>
      <c r="B72" s="77"/>
      <c r="C72" s="112"/>
      <c r="D72" s="254"/>
      <c r="E72" s="565">
        <f>D72*C72</f>
        <v>0</v>
      </c>
      <c r="F72" s="2"/>
      <c r="G72" s="56"/>
      <c r="H72" s="56"/>
      <c r="I72" s="58"/>
      <c r="J72" s="58"/>
      <c r="K72" s="58"/>
      <c r="L72" s="56"/>
      <c r="M72" s="56"/>
      <c r="N72" s="56"/>
      <c r="O72" s="56"/>
      <c r="P72" s="56"/>
      <c r="Q72" s="56"/>
      <c r="R72" s="56"/>
      <c r="S72" s="56"/>
      <c r="T72" s="56"/>
      <c r="U72" s="56"/>
      <c r="V72" s="56"/>
      <c r="W72" s="56"/>
    </row>
    <row r="73" spans="1:23" x14ac:dyDescent="0.2">
      <c r="A73" s="215" t="s">
        <v>197</v>
      </c>
      <c r="B73" s="222"/>
      <c r="C73" s="227"/>
      <c r="D73" s="228"/>
      <c r="E73" s="347">
        <f>E64+E69+E70+E72</f>
        <v>105</v>
      </c>
      <c r="F73" s="2"/>
      <c r="G73" s="56"/>
      <c r="H73" s="56"/>
      <c r="I73" s="58"/>
      <c r="J73" s="58"/>
      <c r="K73" s="58"/>
      <c r="L73" s="56"/>
      <c r="M73" s="56"/>
      <c r="N73" s="56"/>
      <c r="O73" s="56"/>
      <c r="P73" s="56"/>
      <c r="Q73" s="56"/>
      <c r="R73" s="56"/>
      <c r="S73" s="56"/>
      <c r="T73" s="56"/>
      <c r="U73" s="56"/>
      <c r="V73" s="56"/>
      <c r="W73" s="56"/>
    </row>
    <row r="74" spans="1:23" x14ac:dyDescent="0.2">
      <c r="A74" s="164" t="s">
        <v>92</v>
      </c>
      <c r="B74" s="160"/>
      <c r="C74" s="161"/>
      <c r="D74" s="162"/>
      <c r="E74" s="214"/>
      <c r="F74" s="146"/>
      <c r="G74" s="58"/>
      <c r="H74" s="58"/>
      <c r="I74" s="58"/>
      <c r="J74" s="58"/>
      <c r="K74" s="58"/>
      <c r="L74" s="56"/>
      <c r="M74" s="56"/>
      <c r="N74" s="56"/>
      <c r="O74" s="56"/>
      <c r="P74" s="56"/>
      <c r="Q74" s="56"/>
      <c r="R74" s="56"/>
      <c r="S74" s="56"/>
    </row>
    <row r="75" spans="1:23" x14ac:dyDescent="0.2">
      <c r="A75" s="165" t="s">
        <v>2</v>
      </c>
      <c r="B75" s="7"/>
      <c r="C75" s="233"/>
      <c r="D75" s="131"/>
      <c r="E75" s="330" t="s">
        <v>67</v>
      </c>
      <c r="F75" s="2"/>
      <c r="G75" s="50"/>
      <c r="H75" s="128"/>
      <c r="I75" s="58"/>
      <c r="J75" s="58"/>
      <c r="K75" s="58"/>
      <c r="L75" s="56"/>
      <c r="M75" s="56"/>
      <c r="N75" s="56"/>
      <c r="O75" s="56"/>
      <c r="P75" s="56"/>
      <c r="Q75" s="56"/>
      <c r="R75" s="56"/>
      <c r="S75" s="56"/>
    </row>
    <row r="76" spans="1:23" x14ac:dyDescent="0.2">
      <c r="A76" s="252" t="s">
        <v>126</v>
      </c>
      <c r="B76" s="7"/>
      <c r="C76" s="233"/>
      <c r="D76" s="131"/>
      <c r="E76" s="307">
        <v>0</v>
      </c>
      <c r="F76" s="2"/>
      <c r="G76" s="50"/>
      <c r="H76" s="128"/>
      <c r="I76" s="58"/>
      <c r="J76" s="58"/>
      <c r="K76" s="58"/>
      <c r="L76" s="56"/>
      <c r="M76" s="56"/>
      <c r="N76" s="56"/>
      <c r="O76" s="56"/>
      <c r="P76" s="56"/>
      <c r="Q76" s="56"/>
      <c r="R76" s="56"/>
      <c r="S76" s="56"/>
    </row>
    <row r="77" spans="1:23" x14ac:dyDescent="0.2">
      <c r="A77" s="251" t="s">
        <v>99</v>
      </c>
      <c r="B77" s="7"/>
      <c r="C77" s="233"/>
      <c r="D77" s="131"/>
      <c r="E77" s="140">
        <v>0</v>
      </c>
      <c r="F77" s="2"/>
      <c r="G77" s="50"/>
      <c r="H77" s="128"/>
      <c r="I77" s="58"/>
      <c r="J77" s="58"/>
      <c r="K77" s="58"/>
      <c r="L77" s="56"/>
      <c r="M77" s="56"/>
      <c r="N77" s="56"/>
      <c r="O77" s="56"/>
      <c r="P77" s="56"/>
      <c r="Q77" s="56"/>
      <c r="R77" s="56"/>
      <c r="S77" s="56"/>
    </row>
    <row r="78" spans="1:23" x14ac:dyDescent="0.2">
      <c r="A78" s="252" t="s">
        <v>127</v>
      </c>
      <c r="B78" s="7"/>
      <c r="C78" s="16"/>
      <c r="D78" s="234"/>
      <c r="E78" s="140">
        <v>0</v>
      </c>
      <c r="F78" s="2"/>
      <c r="G78" s="50"/>
      <c r="H78" s="128"/>
      <c r="I78" s="58"/>
      <c r="J78" s="58"/>
      <c r="K78" s="58"/>
      <c r="L78" s="56"/>
      <c r="M78" s="56"/>
      <c r="N78" s="56"/>
      <c r="O78" s="56"/>
      <c r="P78" s="56"/>
      <c r="Q78" s="56"/>
      <c r="R78" s="56"/>
      <c r="S78" s="56"/>
    </row>
    <row r="79" spans="1:23" x14ac:dyDescent="0.2">
      <c r="A79" s="251" t="s">
        <v>99</v>
      </c>
      <c r="B79" s="7"/>
      <c r="C79" s="16"/>
      <c r="D79" s="234"/>
      <c r="E79" s="140">
        <v>0</v>
      </c>
      <c r="F79" s="2"/>
      <c r="G79" s="50"/>
      <c r="H79" s="128"/>
      <c r="I79" s="58"/>
      <c r="J79" s="58"/>
      <c r="K79" s="58"/>
      <c r="L79" s="56"/>
      <c r="M79" s="56"/>
      <c r="N79" s="56"/>
      <c r="O79" s="56"/>
      <c r="P79" s="56"/>
      <c r="Q79" s="56"/>
      <c r="R79" s="56"/>
      <c r="S79" s="56"/>
    </row>
    <row r="80" spans="1:23" x14ac:dyDescent="0.2">
      <c r="A80" s="252" t="s">
        <v>128</v>
      </c>
      <c r="B80" s="7"/>
      <c r="C80" s="16"/>
      <c r="D80" s="234"/>
      <c r="E80" s="140">
        <v>0</v>
      </c>
      <c r="F80" s="2"/>
      <c r="G80" s="50"/>
      <c r="H80" s="128"/>
      <c r="I80" s="58"/>
      <c r="J80" s="58"/>
      <c r="K80" s="58"/>
      <c r="L80" s="56"/>
      <c r="M80" s="56"/>
      <c r="N80" s="56"/>
      <c r="O80" s="56"/>
      <c r="P80" s="56"/>
      <c r="Q80" s="56"/>
      <c r="R80" s="56"/>
      <c r="S80" s="56"/>
    </row>
    <row r="81" spans="1:19" x14ac:dyDescent="0.2">
      <c r="A81" s="251" t="s">
        <v>99</v>
      </c>
      <c r="B81" s="7"/>
      <c r="C81" s="16"/>
      <c r="D81" s="234"/>
      <c r="E81" s="140">
        <v>0</v>
      </c>
      <c r="F81" s="2"/>
      <c r="G81" s="50"/>
      <c r="H81" s="128"/>
      <c r="I81" s="58"/>
      <c r="J81" s="58"/>
      <c r="K81" s="58"/>
      <c r="L81" s="56"/>
      <c r="M81" s="56"/>
      <c r="N81" s="56"/>
      <c r="O81" s="56"/>
      <c r="P81" s="56"/>
      <c r="Q81" s="56"/>
      <c r="R81" s="56"/>
      <c r="S81" s="56"/>
    </row>
    <row r="82" spans="1:19" x14ac:dyDescent="0.2">
      <c r="A82" s="212" t="s">
        <v>129</v>
      </c>
      <c r="B82" s="5"/>
      <c r="C82" s="65"/>
      <c r="D82" s="235"/>
      <c r="E82" s="140">
        <v>0</v>
      </c>
      <c r="F82" s="2"/>
      <c r="G82" s="49"/>
      <c r="H82" s="49"/>
      <c r="I82" s="58"/>
      <c r="J82" s="58"/>
      <c r="K82" s="58"/>
      <c r="L82" s="56"/>
      <c r="M82" s="56"/>
      <c r="N82" s="56"/>
      <c r="O82" s="56"/>
      <c r="P82" s="56"/>
      <c r="Q82" s="56"/>
      <c r="R82" s="56"/>
      <c r="S82" s="56"/>
    </row>
    <row r="83" spans="1:19" x14ac:dyDescent="0.2">
      <c r="A83" s="212" t="s">
        <v>99</v>
      </c>
      <c r="B83" s="5"/>
      <c r="C83" s="65"/>
      <c r="D83" s="235"/>
      <c r="E83" s="140">
        <v>0</v>
      </c>
      <c r="F83" s="2"/>
      <c r="G83" s="62"/>
      <c r="H83" s="62"/>
      <c r="I83" s="56"/>
      <c r="J83" s="56"/>
      <c r="K83" s="56"/>
      <c r="L83" s="56"/>
      <c r="M83" s="56"/>
      <c r="N83" s="56"/>
      <c r="O83" s="56"/>
      <c r="P83" s="56"/>
      <c r="Q83" s="56"/>
      <c r="R83" s="56"/>
      <c r="S83" s="56"/>
    </row>
    <row r="84" spans="1:19" x14ac:dyDescent="0.2">
      <c r="A84" s="165" t="s">
        <v>8</v>
      </c>
      <c r="B84" s="7"/>
      <c r="C84" s="16"/>
      <c r="D84" s="5"/>
      <c r="E84" s="254">
        <v>0</v>
      </c>
      <c r="F84" s="2"/>
      <c r="G84" s="2"/>
      <c r="H84" s="2"/>
      <c r="I84" s="2"/>
      <c r="J84" s="2"/>
      <c r="K84" s="2"/>
    </row>
    <row r="85" spans="1:19" x14ac:dyDescent="0.2">
      <c r="A85" s="251" t="s">
        <v>130</v>
      </c>
      <c r="B85" s="7"/>
      <c r="C85" s="16"/>
      <c r="D85" s="5"/>
      <c r="E85" s="254">
        <v>0</v>
      </c>
      <c r="F85" s="2"/>
      <c r="G85" s="2"/>
      <c r="H85" s="2"/>
      <c r="I85" s="2"/>
      <c r="J85" s="2"/>
      <c r="K85" s="2"/>
    </row>
    <row r="86" spans="1:19" x14ac:dyDescent="0.2">
      <c r="A86" s="251" t="s">
        <v>99</v>
      </c>
      <c r="B86" s="7"/>
      <c r="C86" s="16"/>
      <c r="D86" s="5"/>
      <c r="E86" s="254">
        <v>0</v>
      </c>
      <c r="F86" s="2"/>
      <c r="G86" s="2"/>
      <c r="H86" s="2"/>
      <c r="I86" s="2"/>
      <c r="J86" s="2"/>
      <c r="K86" s="2"/>
    </row>
    <row r="87" spans="1:19" x14ac:dyDescent="0.2">
      <c r="A87" s="59" t="s">
        <v>131</v>
      </c>
      <c r="B87" s="5"/>
      <c r="C87" s="65"/>
      <c r="D87" s="235"/>
      <c r="E87" s="140">
        <v>0</v>
      </c>
      <c r="F87" s="2"/>
      <c r="H87" s="58"/>
      <c r="I87" s="58"/>
      <c r="J87" s="58"/>
      <c r="K87" s="58"/>
      <c r="L87" s="56"/>
      <c r="M87" s="56"/>
      <c r="N87" s="56"/>
      <c r="O87" s="56"/>
    </row>
    <row r="88" spans="1:19" x14ac:dyDescent="0.2">
      <c r="A88" s="59" t="s">
        <v>99</v>
      </c>
      <c r="B88" s="5"/>
      <c r="C88" s="65"/>
      <c r="D88" s="235"/>
      <c r="E88" s="140">
        <v>0</v>
      </c>
      <c r="F88" s="2"/>
      <c r="G88" s="2"/>
      <c r="H88" s="58"/>
      <c r="I88" s="58"/>
      <c r="J88" s="58"/>
      <c r="K88" s="58"/>
      <c r="L88" s="56"/>
      <c r="M88" s="56"/>
      <c r="N88" s="56"/>
      <c r="O88" s="56"/>
    </row>
    <row r="89" spans="1:19" x14ac:dyDescent="0.2">
      <c r="A89" s="59" t="s">
        <v>131</v>
      </c>
      <c r="B89" s="5"/>
      <c r="C89" s="65"/>
      <c r="D89" s="235"/>
      <c r="E89" s="140">
        <v>0</v>
      </c>
      <c r="F89" s="2"/>
      <c r="G89" s="2"/>
      <c r="H89" s="58"/>
      <c r="I89" s="58"/>
      <c r="J89" s="58"/>
      <c r="K89" s="58"/>
      <c r="L89" s="56"/>
      <c r="M89" s="56"/>
      <c r="N89" s="56"/>
      <c r="O89" s="56"/>
    </row>
    <row r="90" spans="1:19" x14ac:dyDescent="0.2">
      <c r="A90" s="59" t="s">
        <v>99</v>
      </c>
      <c r="B90" s="5"/>
      <c r="C90" s="65"/>
      <c r="D90" s="235"/>
      <c r="E90" s="140">
        <v>0</v>
      </c>
      <c r="F90" s="2"/>
      <c r="G90" s="2"/>
      <c r="H90" s="58"/>
      <c r="I90" s="58"/>
      <c r="J90" s="58"/>
      <c r="K90" s="58"/>
      <c r="L90" s="56"/>
      <c r="M90" s="56"/>
      <c r="N90" s="56"/>
      <c r="O90" s="56"/>
    </row>
    <row r="91" spans="1:19" x14ac:dyDescent="0.2">
      <c r="A91" s="165" t="s">
        <v>12</v>
      </c>
      <c r="B91" s="7"/>
      <c r="C91" s="16"/>
      <c r="D91" s="5"/>
      <c r="E91" s="254">
        <v>0</v>
      </c>
      <c r="F91" s="2"/>
      <c r="G91" s="2"/>
      <c r="H91" s="58"/>
      <c r="I91" s="58"/>
      <c r="J91" s="58"/>
      <c r="K91" s="58"/>
      <c r="L91" s="56"/>
      <c r="M91" s="56"/>
      <c r="N91" s="56"/>
      <c r="O91" s="56"/>
    </row>
    <row r="92" spans="1:19" ht="13.5" customHeight="1" x14ac:dyDescent="0.2">
      <c r="A92" s="59" t="s">
        <v>176</v>
      </c>
      <c r="B92" s="5"/>
      <c r="C92" s="65"/>
      <c r="D92" s="235"/>
      <c r="E92" s="140">
        <v>0</v>
      </c>
      <c r="F92" s="2"/>
      <c r="G92" s="2"/>
      <c r="H92" s="62"/>
      <c r="I92" s="58"/>
      <c r="J92" s="58"/>
      <c r="K92" s="58"/>
      <c r="L92" s="56"/>
      <c r="M92" s="56"/>
      <c r="N92" s="56"/>
      <c r="O92" s="56"/>
    </row>
    <row r="93" spans="1:19" x14ac:dyDescent="0.2">
      <c r="A93" s="59" t="s">
        <v>99</v>
      </c>
      <c r="B93" s="5"/>
      <c r="C93" s="65"/>
      <c r="D93" s="235"/>
      <c r="E93" s="140">
        <v>0</v>
      </c>
      <c r="F93" s="2"/>
      <c r="G93" s="2"/>
      <c r="H93" s="58"/>
      <c r="I93" s="58"/>
      <c r="J93" s="58"/>
      <c r="K93" s="58"/>
      <c r="L93" s="56"/>
      <c r="M93" s="56"/>
      <c r="N93" s="56"/>
      <c r="O93" s="56"/>
    </row>
    <row r="94" spans="1:19" x14ac:dyDescent="0.2">
      <c r="A94" s="59" t="s">
        <v>177</v>
      </c>
      <c r="B94" s="5"/>
      <c r="C94" s="65"/>
      <c r="D94" s="235"/>
      <c r="E94" s="140">
        <v>0</v>
      </c>
      <c r="F94" s="2"/>
      <c r="G94" s="2"/>
      <c r="H94" s="58"/>
      <c r="I94" s="58"/>
      <c r="J94" s="58"/>
      <c r="K94" s="58"/>
      <c r="L94" s="56"/>
      <c r="M94" s="56"/>
      <c r="N94" s="56"/>
      <c r="O94" s="56"/>
    </row>
    <row r="95" spans="1:19" x14ac:dyDescent="0.2">
      <c r="A95" s="59" t="s">
        <v>99</v>
      </c>
      <c r="B95" s="5"/>
      <c r="C95" s="65"/>
      <c r="D95" s="235"/>
      <c r="E95" s="140">
        <v>0</v>
      </c>
      <c r="F95" s="2"/>
      <c r="G95" s="2"/>
      <c r="H95" s="58"/>
      <c r="I95" s="58"/>
      <c r="J95" s="58"/>
      <c r="K95" s="58"/>
      <c r="L95" s="56"/>
      <c r="M95" s="56"/>
      <c r="N95" s="56"/>
      <c r="O95" s="56"/>
    </row>
    <row r="96" spans="1:19" x14ac:dyDescent="0.2">
      <c r="A96" s="59" t="s">
        <v>178</v>
      </c>
      <c r="B96" s="5"/>
      <c r="C96" s="65"/>
      <c r="D96" s="235"/>
      <c r="E96" s="140">
        <v>0</v>
      </c>
      <c r="F96" s="2"/>
      <c r="G96" s="2"/>
      <c r="H96" s="58"/>
      <c r="I96" s="58"/>
      <c r="J96" s="58"/>
      <c r="K96" s="58"/>
      <c r="L96" s="56"/>
      <c r="M96" s="56"/>
      <c r="N96" s="56"/>
      <c r="O96" s="56"/>
    </row>
    <row r="97" spans="1:23" x14ac:dyDescent="0.2">
      <c r="A97" s="59" t="s">
        <v>99</v>
      </c>
      <c r="B97" s="5"/>
      <c r="C97" s="65"/>
      <c r="D97" s="235"/>
      <c r="E97" s="140">
        <v>0</v>
      </c>
      <c r="F97" s="2"/>
      <c r="G97" s="2"/>
      <c r="H97" s="58"/>
      <c r="I97" s="58"/>
      <c r="J97" s="58"/>
      <c r="K97" s="58"/>
      <c r="L97" s="56"/>
      <c r="M97" s="56"/>
      <c r="N97" s="56"/>
      <c r="O97" s="56"/>
    </row>
    <row r="98" spans="1:23" x14ac:dyDescent="0.2">
      <c r="A98" s="212" t="s">
        <v>30</v>
      </c>
      <c r="B98" s="5"/>
      <c r="C98" s="65"/>
      <c r="D98" s="235"/>
      <c r="E98" s="140">
        <v>0</v>
      </c>
      <c r="F98" s="2"/>
      <c r="G98" s="2"/>
      <c r="H98" s="58"/>
      <c r="I98" s="58"/>
      <c r="J98" s="58"/>
      <c r="K98" s="58"/>
      <c r="L98" s="56"/>
      <c r="M98" s="56"/>
      <c r="N98" s="56"/>
      <c r="O98" s="56"/>
      <c r="P98" s="56"/>
    </row>
    <row r="99" spans="1:23" x14ac:dyDescent="0.2">
      <c r="A99" s="212" t="s">
        <v>31</v>
      </c>
      <c r="B99" s="5"/>
      <c r="C99" s="65"/>
      <c r="D99" s="235"/>
      <c r="E99" s="140">
        <v>0</v>
      </c>
      <c r="F99" s="2"/>
      <c r="G99" s="2"/>
      <c r="H99" s="58"/>
      <c r="I99" s="58"/>
      <c r="J99" s="58"/>
      <c r="K99" s="58"/>
      <c r="L99" s="56"/>
      <c r="M99" s="56"/>
      <c r="N99" s="56"/>
      <c r="O99" s="56"/>
      <c r="P99" s="56"/>
    </row>
    <row r="100" spans="1:23" x14ac:dyDescent="0.2">
      <c r="A100" s="225" t="s">
        <v>199</v>
      </c>
      <c r="B100" s="226"/>
      <c r="C100" s="217"/>
      <c r="D100" s="236"/>
      <c r="E100" s="348">
        <f>SUM(E76:E99)</f>
        <v>0</v>
      </c>
      <c r="F100" s="2"/>
      <c r="G100" s="2"/>
      <c r="H100" s="58"/>
      <c r="I100" s="58"/>
      <c r="J100" s="58"/>
      <c r="K100" s="58"/>
      <c r="L100" s="56"/>
      <c r="M100" s="56"/>
      <c r="N100" s="56"/>
      <c r="O100" s="56"/>
      <c r="P100" s="56"/>
    </row>
    <row r="101" spans="1:23" x14ac:dyDescent="0.2">
      <c r="A101" s="196" t="s">
        <v>10</v>
      </c>
      <c r="B101" s="192"/>
      <c r="C101" s="193"/>
      <c r="D101" s="163"/>
      <c r="E101" s="194"/>
      <c r="F101" s="146"/>
      <c r="G101" s="2"/>
      <c r="H101" s="2"/>
      <c r="I101" s="2"/>
      <c r="J101" s="2"/>
      <c r="K101" s="2"/>
    </row>
    <row r="102" spans="1:23" x14ac:dyDescent="0.2">
      <c r="A102" s="213"/>
      <c r="B102" s="5"/>
      <c r="C102" s="16"/>
      <c r="D102" s="17"/>
      <c r="E102" s="91" t="s">
        <v>241</v>
      </c>
      <c r="F102" s="58"/>
      <c r="G102" s="2"/>
      <c r="H102" s="2"/>
      <c r="I102" s="2"/>
      <c r="J102" s="2"/>
      <c r="K102" s="2"/>
    </row>
    <row r="103" spans="1:23" x14ac:dyDescent="0.2">
      <c r="A103" s="212" t="s">
        <v>118</v>
      </c>
      <c r="B103" s="5"/>
      <c r="C103" s="65"/>
      <c r="D103" s="66"/>
      <c r="E103" s="140">
        <v>0</v>
      </c>
      <c r="F103" s="2"/>
      <c r="G103" s="2"/>
      <c r="H103" s="2"/>
      <c r="I103" s="2"/>
      <c r="J103" s="2"/>
      <c r="K103" s="2"/>
    </row>
    <row r="104" spans="1:23" x14ac:dyDescent="0.2">
      <c r="A104" s="212"/>
      <c r="B104" s="5"/>
      <c r="C104" s="320" t="s">
        <v>116</v>
      </c>
      <c r="D104" s="321" t="s">
        <v>258</v>
      </c>
      <c r="E104" s="91" t="s">
        <v>241</v>
      </c>
      <c r="F104" s="2"/>
      <c r="G104" s="2"/>
      <c r="H104" s="2"/>
      <c r="I104" s="2"/>
      <c r="J104" s="2"/>
      <c r="K104" s="2"/>
    </row>
    <row r="105" spans="1:23" x14ac:dyDescent="0.2">
      <c r="A105" s="29" t="s">
        <v>115</v>
      </c>
      <c r="B105" s="9"/>
      <c r="C105" s="219">
        <v>0</v>
      </c>
      <c r="D105" s="220">
        <v>5.5</v>
      </c>
      <c r="E105" s="344">
        <f>+C105*D105</f>
        <v>0</v>
      </c>
      <c r="F105" s="2"/>
      <c r="G105" s="2"/>
      <c r="H105" s="2"/>
      <c r="I105" s="2"/>
      <c r="J105" s="2"/>
      <c r="K105" s="2"/>
    </row>
    <row r="106" spans="1:23" x14ac:dyDescent="0.2">
      <c r="A106" s="221" t="s">
        <v>117</v>
      </c>
      <c r="B106" s="222"/>
      <c r="C106" s="223"/>
      <c r="D106" s="224"/>
      <c r="E106" s="348">
        <f>E105+E103</f>
        <v>0</v>
      </c>
      <c r="F106" s="2"/>
      <c r="G106" s="2"/>
      <c r="H106" s="2"/>
      <c r="I106" s="2"/>
      <c r="J106" s="2"/>
      <c r="K106" s="2"/>
    </row>
    <row r="107" spans="1:23" ht="15" x14ac:dyDescent="0.25">
      <c r="A107" s="164" t="s">
        <v>93</v>
      </c>
      <c r="B107" s="157"/>
      <c r="C107" s="158"/>
      <c r="D107" s="159"/>
      <c r="E107" s="159"/>
      <c r="F107" s="146"/>
      <c r="G107" s="56"/>
      <c r="H107" s="190"/>
      <c r="I107" s="58"/>
      <c r="J107" s="58"/>
      <c r="K107" s="58"/>
      <c r="L107" s="56"/>
      <c r="M107" s="56"/>
      <c r="N107" s="56"/>
      <c r="O107" s="56"/>
      <c r="P107" s="56"/>
      <c r="Q107" s="56"/>
      <c r="R107" s="56"/>
      <c r="S107" s="56"/>
      <c r="T107" s="56"/>
      <c r="U107" s="56"/>
      <c r="V107" s="56"/>
      <c r="W107" s="56"/>
    </row>
    <row r="108" spans="1:23" ht="13.5" customHeight="1" x14ac:dyDescent="0.2">
      <c r="A108" s="26"/>
      <c r="B108" s="7"/>
      <c r="C108" s="8"/>
      <c r="D108" s="132"/>
      <c r="E108" s="91" t="s">
        <v>241</v>
      </c>
      <c r="F108" s="2"/>
      <c r="H108" s="56"/>
      <c r="I108" s="56"/>
      <c r="J108" s="56"/>
      <c r="K108" s="56"/>
      <c r="L108" s="56"/>
      <c r="M108" s="56"/>
      <c r="N108" s="56"/>
      <c r="O108" s="56"/>
      <c r="P108" s="56"/>
      <c r="Q108" s="56"/>
      <c r="R108" s="56"/>
      <c r="S108" s="56"/>
    </row>
    <row r="109" spans="1:23" ht="13.5" customHeight="1" x14ac:dyDescent="0.2">
      <c r="A109" s="252" t="s">
        <v>233</v>
      </c>
      <c r="B109" s="7"/>
      <c r="C109" s="8"/>
      <c r="D109" s="132"/>
      <c r="E109" s="258">
        <v>185</v>
      </c>
      <c r="F109" s="2"/>
      <c r="H109" s="56"/>
      <c r="I109" s="56"/>
      <c r="J109" s="56"/>
      <c r="K109" s="56"/>
      <c r="L109" s="56"/>
      <c r="M109" s="56"/>
      <c r="N109" s="56"/>
      <c r="O109" s="56"/>
      <c r="P109" s="56"/>
      <c r="Q109" s="56"/>
      <c r="R109" s="56"/>
      <c r="S109" s="56"/>
    </row>
    <row r="110" spans="1:23" x14ac:dyDescent="0.2">
      <c r="A110" s="252" t="s">
        <v>28</v>
      </c>
      <c r="B110" s="7"/>
      <c r="C110" s="65"/>
      <c r="D110" s="66"/>
      <c r="E110" s="140">
        <v>30</v>
      </c>
      <c r="F110" s="2"/>
      <c r="G110" s="2"/>
      <c r="H110" s="58"/>
      <c r="I110" s="58"/>
      <c r="J110" s="58"/>
      <c r="K110" s="58"/>
      <c r="L110" s="56"/>
      <c r="M110" s="56"/>
      <c r="N110" s="56"/>
      <c r="O110" s="56"/>
      <c r="P110" s="56"/>
      <c r="Q110" s="56"/>
      <c r="R110" s="56"/>
      <c r="S110" s="56"/>
    </row>
    <row r="111" spans="1:23" x14ac:dyDescent="0.2">
      <c r="A111" s="252" t="s">
        <v>102</v>
      </c>
      <c r="B111" s="7"/>
      <c r="C111" s="65"/>
      <c r="D111" s="66"/>
      <c r="E111" s="140">
        <v>0</v>
      </c>
      <c r="F111" s="2"/>
      <c r="G111" s="2"/>
      <c r="H111" s="58"/>
      <c r="I111" s="58"/>
      <c r="J111" s="58"/>
      <c r="K111" s="58"/>
      <c r="L111" s="56"/>
      <c r="M111" s="56"/>
      <c r="N111" s="56"/>
      <c r="O111" s="56"/>
      <c r="P111" s="56"/>
      <c r="Q111" s="56"/>
      <c r="R111" s="56"/>
      <c r="S111" s="56"/>
    </row>
    <row r="112" spans="1:23" ht="15" x14ac:dyDescent="0.25">
      <c r="A112" s="252" t="s">
        <v>91</v>
      </c>
      <c r="B112" s="63" t="s">
        <v>234</v>
      </c>
      <c r="C112" s="65"/>
      <c r="D112" s="66"/>
      <c r="E112" s="140">
        <v>0</v>
      </c>
      <c r="F112" s="2"/>
      <c r="G112" s="2"/>
      <c r="H112" s="189"/>
      <c r="I112" s="13"/>
      <c r="J112" s="13"/>
      <c r="K112" s="13"/>
      <c r="L112" s="42"/>
      <c r="M112" s="42"/>
      <c r="N112" s="42"/>
      <c r="O112" s="42"/>
      <c r="P112" s="42"/>
      <c r="Q112" s="42"/>
      <c r="R112" s="42"/>
      <c r="S112" s="42"/>
    </row>
    <row r="113" spans="1:19" ht="15" x14ac:dyDescent="0.25">
      <c r="A113" s="252" t="s">
        <v>101</v>
      </c>
      <c r="B113" s="63"/>
      <c r="C113" s="65"/>
      <c r="D113" s="66"/>
      <c r="E113" s="281">
        <v>1.45</v>
      </c>
      <c r="F113" s="2"/>
      <c r="G113" s="2"/>
      <c r="H113" s="189"/>
      <c r="I113" s="13"/>
      <c r="J113" s="13"/>
      <c r="K113" s="13"/>
      <c r="L113" s="42"/>
      <c r="M113" s="42"/>
      <c r="N113" s="42"/>
      <c r="O113" s="42"/>
      <c r="P113" s="42"/>
      <c r="Q113" s="42"/>
      <c r="R113" s="42"/>
      <c r="S113" s="42"/>
    </row>
    <row r="114" spans="1:19" x14ac:dyDescent="0.2">
      <c r="A114" s="215" t="s">
        <v>120</v>
      </c>
      <c r="B114" s="216"/>
      <c r="C114" s="217"/>
      <c r="D114" s="218"/>
      <c r="E114" s="348">
        <f>SUM(E109:E113)</f>
        <v>216.45</v>
      </c>
      <c r="F114" s="2"/>
      <c r="G114" s="2"/>
      <c r="H114" s="58"/>
      <c r="I114" s="58"/>
      <c r="J114" s="58"/>
      <c r="K114" s="58"/>
      <c r="L114" s="56"/>
      <c r="M114" s="56"/>
      <c r="N114" s="56"/>
      <c r="O114" s="56"/>
      <c r="P114" s="56"/>
      <c r="Q114" s="56"/>
      <c r="R114" s="56"/>
      <c r="S114" s="56"/>
    </row>
    <row r="115" spans="1:19" x14ac:dyDescent="0.2">
      <c r="A115" s="144"/>
      <c r="B115" s="157"/>
      <c r="C115" s="202"/>
      <c r="D115" s="203"/>
      <c r="E115" s="198"/>
      <c r="F115" s="146"/>
      <c r="G115" s="2"/>
      <c r="H115" s="2"/>
      <c r="I115" s="2"/>
      <c r="J115" s="2"/>
      <c r="K115" s="2"/>
    </row>
    <row r="116" spans="1:19" x14ac:dyDescent="0.2">
      <c r="A116" s="394" t="s">
        <v>203</v>
      </c>
      <c r="B116" s="395"/>
      <c r="C116" s="396"/>
      <c r="D116" s="397"/>
      <c r="E116" s="348">
        <f>E60+E73+E100+E106+E114</f>
        <v>628.95000000000005</v>
      </c>
      <c r="F116" s="2"/>
      <c r="G116" s="2"/>
      <c r="H116" s="2"/>
      <c r="I116" s="2"/>
      <c r="J116" s="2"/>
      <c r="K116" s="2"/>
    </row>
    <row r="117" spans="1:19" x14ac:dyDescent="0.2">
      <c r="A117" s="22"/>
      <c r="B117" s="5"/>
      <c r="C117" s="16"/>
      <c r="D117" s="17"/>
      <c r="E117" s="186"/>
      <c r="F117" s="2"/>
      <c r="G117" s="2"/>
      <c r="H117" s="2"/>
      <c r="I117" s="2"/>
      <c r="J117" s="2"/>
      <c r="K117" s="2"/>
    </row>
    <row r="118" spans="1:19" x14ac:dyDescent="0.2">
      <c r="A118" s="195" t="s">
        <v>100</v>
      </c>
      <c r="B118" s="146"/>
      <c r="C118" s="187"/>
      <c r="D118" s="157"/>
      <c r="E118" s="146"/>
      <c r="F118" s="146"/>
    </row>
    <row r="119" spans="1:19" x14ac:dyDescent="0.2">
      <c r="A119" s="18" t="s">
        <v>121</v>
      </c>
      <c r="B119" s="2"/>
      <c r="C119" s="311" t="s">
        <v>257</v>
      </c>
      <c r="D119" s="323" t="s">
        <v>256</v>
      </c>
      <c r="E119" s="91" t="s">
        <v>241</v>
      </c>
      <c r="F119" s="2"/>
      <c r="Q119" s="87"/>
    </row>
    <row r="120" spans="1:19" x14ac:dyDescent="0.2">
      <c r="A120" s="289" t="s">
        <v>82</v>
      </c>
      <c r="B120" s="7"/>
      <c r="C120" s="112">
        <v>0</v>
      </c>
      <c r="D120" s="139">
        <v>20</v>
      </c>
      <c r="E120" s="339">
        <f>C120*D120</f>
        <v>0</v>
      </c>
      <c r="F120" s="2"/>
    </row>
    <row r="121" spans="1:19" x14ac:dyDescent="0.2">
      <c r="A121" s="289" t="s">
        <v>9</v>
      </c>
      <c r="B121" s="7"/>
      <c r="C121" s="112">
        <v>0</v>
      </c>
      <c r="D121" s="140">
        <v>17.5</v>
      </c>
      <c r="E121" s="339">
        <f t="shared" ref="E121:E128" si="4">C121*D121</f>
        <v>0</v>
      </c>
      <c r="F121" s="2"/>
    </row>
    <row r="122" spans="1:19" x14ac:dyDescent="0.2">
      <c r="A122" s="289" t="s">
        <v>328</v>
      </c>
      <c r="B122" s="7"/>
      <c r="C122" s="112">
        <v>0</v>
      </c>
      <c r="D122" s="140">
        <v>20</v>
      </c>
      <c r="E122" s="339">
        <f t="shared" si="4"/>
        <v>0</v>
      </c>
      <c r="F122" s="2"/>
    </row>
    <row r="123" spans="1:19" x14ac:dyDescent="0.2">
      <c r="A123" s="289"/>
      <c r="B123" s="7"/>
      <c r="C123" s="112"/>
      <c r="D123" s="140">
        <v>0</v>
      </c>
      <c r="E123" s="339">
        <f t="shared" si="4"/>
        <v>0</v>
      </c>
      <c r="F123" s="2"/>
    </row>
    <row r="124" spans="1:19" x14ac:dyDescent="0.2">
      <c r="A124" s="289"/>
      <c r="B124" s="7"/>
      <c r="C124" s="112"/>
      <c r="D124" s="140">
        <v>0</v>
      </c>
      <c r="E124" s="339">
        <f t="shared" si="4"/>
        <v>0</v>
      </c>
      <c r="F124" s="2"/>
    </row>
    <row r="125" spans="1:19" ht="14.25" customHeight="1" x14ac:dyDescent="0.2">
      <c r="A125" s="303" t="s">
        <v>108</v>
      </c>
      <c r="B125" s="7"/>
      <c r="C125" s="112">
        <v>0</v>
      </c>
      <c r="D125" s="140">
        <v>18</v>
      </c>
      <c r="E125" s="339">
        <f t="shared" si="4"/>
        <v>0</v>
      </c>
      <c r="F125" s="2"/>
    </row>
    <row r="126" spans="1:19" ht="14.25" customHeight="1" x14ac:dyDescent="0.2">
      <c r="A126" s="303"/>
      <c r="B126" s="7"/>
      <c r="C126" s="112"/>
      <c r="D126" s="140">
        <v>0</v>
      </c>
      <c r="E126" s="339">
        <v>0</v>
      </c>
      <c r="F126" s="2"/>
    </row>
    <row r="127" spans="1:19" ht="14.25" customHeight="1" x14ac:dyDescent="0.2">
      <c r="A127" s="303"/>
      <c r="B127" s="7"/>
      <c r="C127" s="112"/>
      <c r="D127" s="140">
        <v>0</v>
      </c>
      <c r="E127" s="339">
        <v>0</v>
      </c>
      <c r="F127" s="2"/>
    </row>
    <row r="128" spans="1:19" ht="12" customHeight="1" x14ac:dyDescent="0.2">
      <c r="A128" s="303"/>
      <c r="B128" s="5"/>
      <c r="C128" s="112"/>
      <c r="D128" s="140">
        <v>0</v>
      </c>
      <c r="E128" s="339">
        <f t="shared" si="4"/>
        <v>0</v>
      </c>
      <c r="F128" s="2"/>
    </row>
    <row r="129" spans="1:19" ht="12.75" customHeight="1" x14ac:dyDescent="0.2">
      <c r="A129" s="289"/>
      <c r="B129" s="399"/>
      <c r="C129" s="112"/>
      <c r="D129" s="140">
        <v>0</v>
      </c>
      <c r="E129" s="343">
        <f>C129*D129</f>
        <v>0</v>
      </c>
      <c r="F129" s="2"/>
    </row>
    <row r="130" spans="1:19" ht="12" customHeight="1" x14ac:dyDescent="0.2">
      <c r="A130" s="394" t="s">
        <v>184</v>
      </c>
      <c r="B130" s="395"/>
      <c r="C130" s="396"/>
      <c r="D130" s="398"/>
      <c r="E130" s="348">
        <f>SUM(E120:E129)</f>
        <v>0</v>
      </c>
      <c r="F130" s="2"/>
      <c r="H130" s="563"/>
    </row>
    <row r="131" spans="1:19" ht="12" customHeight="1" x14ac:dyDescent="0.2">
      <c r="A131" s="15"/>
      <c r="B131" s="5"/>
      <c r="C131" s="16"/>
      <c r="D131" s="5"/>
      <c r="E131" s="186"/>
      <c r="F131" s="2"/>
      <c r="H131" s="564"/>
      <c r="I131" s="563" t="s">
        <v>337</v>
      </c>
    </row>
    <row r="132" spans="1:19" ht="12.75" customHeight="1" x14ac:dyDescent="0.2">
      <c r="A132" s="22" t="s">
        <v>221</v>
      </c>
      <c r="B132" s="5"/>
      <c r="C132" s="310" t="s">
        <v>313</v>
      </c>
      <c r="D132" s="310" t="s">
        <v>256</v>
      </c>
      <c r="E132" s="91" t="s">
        <v>241</v>
      </c>
      <c r="F132" s="2"/>
      <c r="I132" s="564" t="s">
        <v>357</v>
      </c>
    </row>
    <row r="133" spans="1:19" ht="12.75" customHeight="1" x14ac:dyDescent="0.2">
      <c r="A133" s="285" t="s">
        <v>348</v>
      </c>
      <c r="B133" s="5"/>
      <c r="C133" s="112">
        <v>4</v>
      </c>
      <c r="D133" s="141">
        <v>17</v>
      </c>
      <c r="E133" s="343">
        <f>C133*D133</f>
        <v>68</v>
      </c>
      <c r="F133" s="2"/>
      <c r="H133" s="563"/>
    </row>
    <row r="134" spans="1:19" ht="12.75" customHeight="1" x14ac:dyDescent="0.2">
      <c r="A134" s="289" t="s">
        <v>352</v>
      </c>
      <c r="B134" s="63"/>
      <c r="C134" s="112">
        <v>4</v>
      </c>
      <c r="D134" s="141">
        <v>8</v>
      </c>
      <c r="E134" s="343">
        <f t="shared" ref="E134:E140" si="5">C134*D134</f>
        <v>32</v>
      </c>
      <c r="F134" s="2"/>
      <c r="H134" s="564"/>
      <c r="I134" s="563" t="s">
        <v>335</v>
      </c>
      <c r="S134" s="32"/>
    </row>
    <row r="135" spans="1:19" ht="12.75" customHeight="1" x14ac:dyDescent="0.2">
      <c r="A135" s="289"/>
      <c r="B135" s="7"/>
      <c r="C135" s="112"/>
      <c r="D135" s="141">
        <v>0</v>
      </c>
      <c r="E135" s="343">
        <f t="shared" si="5"/>
        <v>0</v>
      </c>
      <c r="F135" s="2"/>
      <c r="I135" s="564" t="s">
        <v>336</v>
      </c>
      <c r="S135" s="32"/>
    </row>
    <row r="136" spans="1:19" ht="12.75" customHeight="1" x14ac:dyDescent="0.2">
      <c r="A136" s="289"/>
      <c r="B136" s="63"/>
      <c r="C136" s="112"/>
      <c r="D136" s="141">
        <v>0</v>
      </c>
      <c r="E136" s="343">
        <f t="shared" si="5"/>
        <v>0</v>
      </c>
      <c r="F136" s="2"/>
      <c r="H136" s="563"/>
      <c r="I136" s="57" t="s">
        <v>359</v>
      </c>
      <c r="S136" s="32"/>
    </row>
    <row r="137" spans="1:19" ht="12.75" customHeight="1" x14ac:dyDescent="0.2">
      <c r="A137" s="289"/>
      <c r="B137" s="63"/>
      <c r="C137" s="112"/>
      <c r="D137" s="141">
        <v>0</v>
      </c>
      <c r="E137" s="343">
        <f t="shared" si="5"/>
        <v>0</v>
      </c>
      <c r="F137" s="2"/>
      <c r="H137" s="564"/>
      <c r="S137" s="32"/>
    </row>
    <row r="138" spans="1:19" ht="12.75" customHeight="1" x14ac:dyDescent="0.2">
      <c r="A138" s="289"/>
      <c r="B138" s="63"/>
      <c r="C138" s="112"/>
      <c r="D138" s="141">
        <v>0</v>
      </c>
      <c r="E138" s="343">
        <f t="shared" si="5"/>
        <v>0</v>
      </c>
      <c r="F138" s="2"/>
      <c r="I138" t="s">
        <v>360</v>
      </c>
      <c r="S138" s="32"/>
    </row>
    <row r="139" spans="1:19" ht="12.75" customHeight="1" x14ac:dyDescent="0.2">
      <c r="A139" s="289"/>
      <c r="B139" s="63"/>
      <c r="C139" s="112"/>
      <c r="D139" s="141">
        <v>0</v>
      </c>
      <c r="E139" s="343">
        <f t="shared" si="5"/>
        <v>0</v>
      </c>
      <c r="F139" s="2"/>
      <c r="H139" s="563"/>
      <c r="I139" s="564" t="s">
        <v>361</v>
      </c>
      <c r="S139" s="32"/>
    </row>
    <row r="140" spans="1:19" ht="12.75" customHeight="1" x14ac:dyDescent="0.2">
      <c r="A140" s="289"/>
      <c r="B140" s="402"/>
      <c r="C140" s="112"/>
      <c r="D140" s="140">
        <v>0</v>
      </c>
      <c r="E140" s="343">
        <f t="shared" si="5"/>
        <v>0</v>
      </c>
      <c r="F140" s="2"/>
      <c r="H140" s="564"/>
      <c r="S140" s="32"/>
    </row>
    <row r="141" spans="1:19" ht="12.75" customHeight="1" x14ac:dyDescent="0.2">
      <c r="A141" s="253" t="s">
        <v>222</v>
      </c>
      <c r="B141" s="404"/>
      <c r="C141" s="400"/>
      <c r="D141" s="405"/>
      <c r="E141" s="406">
        <f>SUM(E133:E140)</f>
        <v>100</v>
      </c>
      <c r="F141" s="2"/>
      <c r="I141" s="563" t="s">
        <v>338</v>
      </c>
      <c r="S141" s="32"/>
    </row>
    <row r="142" spans="1:19" ht="12.75" customHeight="1" x14ac:dyDescent="0.2">
      <c r="A142" s="185"/>
      <c r="B142" s="185"/>
      <c r="C142" s="65"/>
      <c r="D142" s="235"/>
      <c r="E142" s="145"/>
      <c r="F142" s="58"/>
      <c r="I142" s="564" t="s">
        <v>339</v>
      </c>
      <c r="S142" s="32"/>
    </row>
    <row r="143" spans="1:19" ht="12.75" customHeight="1" x14ac:dyDescent="0.2">
      <c r="A143" s="288" t="s">
        <v>272</v>
      </c>
      <c r="B143" s="324" t="s">
        <v>312</v>
      </c>
      <c r="C143" s="320" t="s">
        <v>269</v>
      </c>
      <c r="D143" s="321" t="s">
        <v>268</v>
      </c>
      <c r="E143" s="91" t="s">
        <v>241</v>
      </c>
      <c r="F143" s="2"/>
      <c r="S143" s="32"/>
    </row>
    <row r="144" spans="1:19" ht="12.75" customHeight="1" x14ac:dyDescent="0.2">
      <c r="A144" s="289" t="s">
        <v>161</v>
      </c>
      <c r="B144" s="297"/>
      <c r="C144" s="112"/>
      <c r="D144" s="140">
        <v>0</v>
      </c>
      <c r="E144" s="343">
        <f t="shared" ref="E144:E145" si="6">IFERROR((D144/C144)*B144,0)</f>
        <v>0</v>
      </c>
      <c r="F144" s="2"/>
      <c r="I144" s="563" t="s">
        <v>340</v>
      </c>
      <c r="S144" s="32"/>
    </row>
    <row r="145" spans="1:19" ht="12.75" customHeight="1" x14ac:dyDescent="0.2">
      <c r="A145" s="289"/>
      <c r="B145" s="297"/>
      <c r="C145" s="112"/>
      <c r="D145" s="141">
        <v>0</v>
      </c>
      <c r="E145" s="343">
        <f t="shared" si="6"/>
        <v>0</v>
      </c>
      <c r="F145" s="2"/>
      <c r="I145" s="564" t="s">
        <v>358</v>
      </c>
      <c r="S145" s="32"/>
    </row>
    <row r="146" spans="1:19" ht="12.75" customHeight="1" x14ac:dyDescent="0.2">
      <c r="A146" s="289"/>
      <c r="B146" s="297"/>
      <c r="C146" s="112"/>
      <c r="D146" s="141">
        <v>0</v>
      </c>
      <c r="E146" s="343">
        <f>IFERROR((D146/C146)*B146,0)</f>
        <v>0</v>
      </c>
      <c r="F146" s="2"/>
      <c r="S146" s="32"/>
    </row>
    <row r="147" spans="1:19" ht="12.75" customHeight="1" x14ac:dyDescent="0.2">
      <c r="A147" s="289"/>
      <c r="B147" s="297"/>
      <c r="C147" s="112"/>
      <c r="D147" s="141">
        <v>0</v>
      </c>
      <c r="E147" s="343">
        <f t="shared" ref="E147:E151" si="7">IFERROR((D147/C147)*B147,0)</f>
        <v>0</v>
      </c>
      <c r="F147" s="2"/>
      <c r="S147" s="32"/>
    </row>
    <row r="148" spans="1:19" ht="12.75" customHeight="1" x14ac:dyDescent="0.2">
      <c r="A148" s="289"/>
      <c r="B148" s="297"/>
      <c r="C148" s="112"/>
      <c r="D148" s="141">
        <v>0</v>
      </c>
      <c r="E148" s="343">
        <f t="shared" si="7"/>
        <v>0</v>
      </c>
      <c r="F148" s="2"/>
      <c r="S148" s="32"/>
    </row>
    <row r="149" spans="1:19" ht="12.75" customHeight="1" x14ac:dyDescent="0.2">
      <c r="A149" s="289"/>
      <c r="B149" s="297"/>
      <c r="C149" s="112"/>
      <c r="D149" s="141">
        <v>0</v>
      </c>
      <c r="E149" s="343">
        <f t="shared" si="7"/>
        <v>0</v>
      </c>
      <c r="F149" s="2"/>
      <c r="S149" s="32"/>
    </row>
    <row r="150" spans="1:19" ht="12.75" customHeight="1" x14ac:dyDescent="0.2">
      <c r="A150" s="326"/>
      <c r="B150" s="297"/>
      <c r="C150" s="123"/>
      <c r="D150" s="259">
        <v>0</v>
      </c>
      <c r="E150" s="343">
        <f t="shared" si="7"/>
        <v>0</v>
      </c>
      <c r="F150" s="2"/>
      <c r="S150" s="32"/>
    </row>
    <row r="151" spans="1:19" ht="12.75" customHeight="1" x14ac:dyDescent="0.2">
      <c r="A151" s="289"/>
      <c r="B151" s="297"/>
      <c r="C151" s="112"/>
      <c r="D151" s="140">
        <v>0</v>
      </c>
      <c r="E151" s="343">
        <f t="shared" si="7"/>
        <v>0</v>
      </c>
      <c r="F151" s="2"/>
      <c r="S151" s="32"/>
    </row>
    <row r="152" spans="1:19" ht="12.75" customHeight="1" x14ac:dyDescent="0.2">
      <c r="A152" s="411" t="s">
        <v>223</v>
      </c>
      <c r="B152" s="415"/>
      <c r="C152" s="413"/>
      <c r="D152" s="414"/>
      <c r="E152" s="348">
        <f>SUM(E144:E151)</f>
        <v>0</v>
      </c>
      <c r="F152" s="2"/>
      <c r="S152" s="32"/>
    </row>
    <row r="153" spans="1:19" s="42" customFormat="1" ht="12.75" customHeight="1" x14ac:dyDescent="0.2">
      <c r="A153" s="185"/>
      <c r="B153" s="185"/>
      <c r="C153" s="65"/>
      <c r="D153" s="235"/>
      <c r="E153" s="145"/>
      <c r="F153" s="13"/>
      <c r="S153" s="283"/>
    </row>
    <row r="154" spans="1:19" s="56" customFormat="1" ht="12.75" customHeight="1" x14ac:dyDescent="0.2">
      <c r="A154" s="359" t="s">
        <v>310</v>
      </c>
      <c r="B154" s="199"/>
      <c r="C154" s="320" t="s">
        <v>311</v>
      </c>
      <c r="D154" s="332" t="s">
        <v>302</v>
      </c>
      <c r="E154" s="145"/>
      <c r="F154" s="58"/>
      <c r="S154" s="200"/>
    </row>
    <row r="155" spans="1:19" ht="12.75" customHeight="1" x14ac:dyDescent="0.2">
      <c r="A155" s="289"/>
      <c r="B155" s="63"/>
      <c r="C155" s="112"/>
      <c r="D155" s="140">
        <v>0</v>
      </c>
      <c r="E155" s="343">
        <f>C155*D155</f>
        <v>0</v>
      </c>
      <c r="F155" s="2"/>
      <c r="S155" s="32"/>
    </row>
    <row r="156" spans="1:19" ht="12.75" customHeight="1" x14ac:dyDescent="0.2">
      <c r="A156" s="289"/>
      <c r="B156" s="63"/>
      <c r="C156" s="112"/>
      <c r="D156" s="141">
        <v>0</v>
      </c>
      <c r="E156" s="343">
        <f t="shared" ref="E156:E161" si="8">C156*D156</f>
        <v>0</v>
      </c>
      <c r="F156" s="2"/>
      <c r="S156" s="32"/>
    </row>
    <row r="157" spans="1:19" ht="12.75" customHeight="1" x14ac:dyDescent="0.2">
      <c r="A157" s="289" t="s">
        <v>353</v>
      </c>
      <c r="B157" s="63"/>
      <c r="C157" s="112">
        <v>9</v>
      </c>
      <c r="D157" s="141">
        <v>12</v>
      </c>
      <c r="E157" s="343">
        <f t="shared" si="8"/>
        <v>108</v>
      </c>
      <c r="F157" s="2"/>
      <c r="S157" s="32"/>
    </row>
    <row r="158" spans="1:19" ht="12.75" customHeight="1" x14ac:dyDescent="0.2">
      <c r="A158" s="289"/>
      <c r="B158" s="63"/>
      <c r="C158" s="112"/>
      <c r="D158" s="141">
        <v>0</v>
      </c>
      <c r="E158" s="343">
        <f t="shared" si="8"/>
        <v>0</v>
      </c>
      <c r="F158" s="2"/>
      <c r="S158" s="32"/>
    </row>
    <row r="159" spans="1:19" ht="12.75" customHeight="1" x14ac:dyDescent="0.2">
      <c r="A159" s="289"/>
      <c r="B159" s="63"/>
      <c r="C159" s="112"/>
      <c r="D159" s="141">
        <v>0</v>
      </c>
      <c r="E159" s="343">
        <f t="shared" si="8"/>
        <v>0</v>
      </c>
      <c r="F159" s="2"/>
      <c r="S159" s="32"/>
    </row>
    <row r="160" spans="1:19" ht="12.75" customHeight="1" x14ac:dyDescent="0.2">
      <c r="A160" s="289"/>
      <c r="B160" s="63"/>
      <c r="C160" s="112"/>
      <c r="D160" s="141">
        <v>0</v>
      </c>
      <c r="E160" s="343">
        <f t="shared" si="8"/>
        <v>0</v>
      </c>
      <c r="F160" s="2"/>
      <c r="S160" s="32"/>
    </row>
    <row r="161" spans="1:19" ht="12.75" customHeight="1" x14ac:dyDescent="0.2">
      <c r="A161" s="289"/>
      <c r="B161" s="402"/>
      <c r="C161" s="112"/>
      <c r="D161" s="140">
        <v>0</v>
      </c>
      <c r="E161" s="343">
        <f t="shared" si="8"/>
        <v>0</v>
      </c>
      <c r="F161" s="2"/>
      <c r="S161" s="32"/>
    </row>
    <row r="162" spans="1:19" ht="12.75" customHeight="1" x14ac:dyDescent="0.2">
      <c r="A162" s="410" t="s">
        <v>224</v>
      </c>
      <c r="B162" s="404"/>
      <c r="C162" s="400"/>
      <c r="D162" s="405"/>
      <c r="E162" s="348">
        <f>SUM(E155:E161)</f>
        <v>108</v>
      </c>
      <c r="F162" s="2"/>
      <c r="S162" s="32"/>
    </row>
    <row r="163" spans="1:19" s="42" customFormat="1" ht="12.75" customHeight="1" x14ac:dyDescent="0.2">
      <c r="A163" s="185"/>
      <c r="B163" s="185"/>
      <c r="C163" s="65"/>
      <c r="D163" s="235"/>
      <c r="E163" s="145"/>
      <c r="F163" s="13"/>
      <c r="S163" s="283"/>
    </row>
    <row r="164" spans="1:19" s="56" customFormat="1" ht="12.75" customHeight="1" x14ac:dyDescent="0.2">
      <c r="A164" s="359" t="s">
        <v>274</v>
      </c>
      <c r="B164" s="185"/>
      <c r="C164" s="320" t="s">
        <v>309</v>
      </c>
      <c r="D164" s="321" t="s">
        <v>240</v>
      </c>
      <c r="E164" s="145"/>
      <c r="F164" s="58"/>
      <c r="S164" s="200"/>
    </row>
    <row r="165" spans="1:19" ht="12.75" customHeight="1" x14ac:dyDescent="0.2">
      <c r="A165" s="289"/>
      <c r="B165" s="63"/>
      <c r="C165" s="112"/>
      <c r="D165" s="140">
        <v>0</v>
      </c>
      <c r="E165" s="343">
        <f>C165*D165</f>
        <v>0</v>
      </c>
      <c r="F165" s="2"/>
      <c r="S165" s="32"/>
    </row>
    <row r="166" spans="1:19" ht="12.75" customHeight="1" x14ac:dyDescent="0.2">
      <c r="A166" s="289"/>
      <c r="B166" s="63"/>
      <c r="C166" s="112"/>
      <c r="D166" s="140">
        <v>0</v>
      </c>
      <c r="E166" s="343">
        <f t="shared" ref="E166:E171" si="9">C166*D166</f>
        <v>0</v>
      </c>
      <c r="F166" s="2"/>
      <c r="S166" s="32"/>
    </row>
    <row r="167" spans="1:19" ht="12.75" customHeight="1" x14ac:dyDescent="0.2">
      <c r="A167" s="289"/>
      <c r="B167" s="63"/>
      <c r="C167" s="112"/>
      <c r="D167" s="140">
        <v>0</v>
      </c>
      <c r="E167" s="343">
        <f t="shared" si="9"/>
        <v>0</v>
      </c>
      <c r="F167" s="2"/>
      <c r="S167" s="32"/>
    </row>
    <row r="168" spans="1:19" ht="12.75" customHeight="1" x14ac:dyDescent="0.2">
      <c r="A168" s="289"/>
      <c r="B168" s="63"/>
      <c r="C168" s="112"/>
      <c r="D168" s="140">
        <v>0</v>
      </c>
      <c r="E168" s="343">
        <f t="shared" si="9"/>
        <v>0</v>
      </c>
      <c r="F168" s="2"/>
      <c r="S168" s="32"/>
    </row>
    <row r="169" spans="1:19" ht="12.75" customHeight="1" x14ac:dyDescent="0.2">
      <c r="A169" s="289"/>
      <c r="B169" s="63"/>
      <c r="C169" s="112"/>
      <c r="D169" s="140">
        <v>0</v>
      </c>
      <c r="E169" s="343">
        <f t="shared" si="9"/>
        <v>0</v>
      </c>
      <c r="F169" s="2"/>
      <c r="S169" s="32"/>
    </row>
    <row r="170" spans="1:19" ht="12.75" customHeight="1" x14ac:dyDescent="0.2">
      <c r="A170" s="326"/>
      <c r="B170" s="63"/>
      <c r="C170" s="112"/>
      <c r="D170" s="281">
        <v>0</v>
      </c>
      <c r="E170" s="344">
        <f t="shared" si="9"/>
        <v>0</v>
      </c>
      <c r="F170" s="2"/>
      <c r="S170" s="32"/>
    </row>
    <row r="171" spans="1:19" ht="12.75" customHeight="1" x14ac:dyDescent="0.2">
      <c r="A171" s="289"/>
      <c r="B171" s="402"/>
      <c r="C171" s="112"/>
      <c r="D171" s="140">
        <v>0</v>
      </c>
      <c r="E171" s="343">
        <f t="shared" si="9"/>
        <v>0</v>
      </c>
      <c r="F171" s="2"/>
      <c r="S171" s="32"/>
    </row>
    <row r="172" spans="1:19" ht="12.75" customHeight="1" x14ac:dyDescent="0.2">
      <c r="A172" s="411" t="s">
        <v>225</v>
      </c>
      <c r="B172" s="412"/>
      <c r="C172" s="413"/>
      <c r="D172" s="414"/>
      <c r="E172" s="348">
        <f>SUM(E165:E171)</f>
        <v>0</v>
      </c>
      <c r="F172" s="2"/>
      <c r="S172" s="32"/>
    </row>
    <row r="173" spans="1:19" s="56" customFormat="1" ht="12.75" customHeight="1" x14ac:dyDescent="0.2">
      <c r="A173" s="185"/>
      <c r="B173" s="185"/>
      <c r="C173" s="65"/>
      <c r="D173" s="235"/>
      <c r="E173" s="145"/>
      <c r="F173" s="13"/>
      <c r="S173" s="200"/>
    </row>
    <row r="174" spans="1:19" ht="12.75" customHeight="1" x14ac:dyDescent="0.2">
      <c r="A174" s="288" t="s">
        <v>34</v>
      </c>
      <c r="B174" s="324" t="s">
        <v>276</v>
      </c>
      <c r="C174" s="320" t="s">
        <v>124</v>
      </c>
      <c r="D174" s="333" t="s">
        <v>254</v>
      </c>
      <c r="E174" s="91" t="s">
        <v>241</v>
      </c>
      <c r="F174" s="58"/>
      <c r="S174" s="32"/>
    </row>
    <row r="175" spans="1:19" ht="12.75" customHeight="1" x14ac:dyDescent="0.2">
      <c r="A175" s="289" t="s">
        <v>134</v>
      </c>
      <c r="B175" s="297">
        <v>15</v>
      </c>
      <c r="C175" s="112">
        <v>10</v>
      </c>
      <c r="D175" s="115">
        <v>4</v>
      </c>
      <c r="E175" s="343">
        <f>((C175*D175)*((C14+C15)/B175))</f>
        <v>15.2</v>
      </c>
      <c r="F175" s="2"/>
      <c r="S175" s="32"/>
    </row>
    <row r="176" spans="1:19" ht="12.75" customHeight="1" x14ac:dyDescent="0.2">
      <c r="A176" s="326"/>
      <c r="B176" s="297">
        <v>10</v>
      </c>
      <c r="C176" s="123"/>
      <c r="D176" s="259"/>
      <c r="E176" s="344">
        <f>((C176*D176)*(C16/B176))</f>
        <v>0</v>
      </c>
      <c r="F176" s="2"/>
      <c r="S176" s="32"/>
    </row>
    <row r="177" spans="1:19" ht="12.75" customHeight="1" x14ac:dyDescent="0.2">
      <c r="A177" s="239" t="s">
        <v>123</v>
      </c>
      <c r="B177" s="237"/>
      <c r="C177" s="217"/>
      <c r="D177" s="218"/>
      <c r="E177" s="348">
        <f>E141+E152+E162+E172+E175+E176</f>
        <v>223.2</v>
      </c>
      <c r="F177" s="2"/>
      <c r="S177" s="32"/>
    </row>
    <row r="178" spans="1:19" ht="12.75" customHeight="1" x14ac:dyDescent="0.2">
      <c r="A178" s="164" t="s">
        <v>32</v>
      </c>
      <c r="B178" s="209"/>
      <c r="C178" s="161"/>
      <c r="D178" s="162"/>
      <c r="E178" s="163"/>
      <c r="F178" s="210"/>
      <c r="S178" s="32"/>
    </row>
    <row r="179" spans="1:19" ht="12.75" customHeight="1" x14ac:dyDescent="0.2">
      <c r="A179" s="185"/>
      <c r="B179" s="334" t="s">
        <v>180</v>
      </c>
      <c r="C179" s="334" t="s">
        <v>277</v>
      </c>
      <c r="D179" s="335" t="s">
        <v>278</v>
      </c>
      <c r="E179" s="91" t="s">
        <v>241</v>
      </c>
      <c r="F179" s="13"/>
      <c r="S179" s="32"/>
    </row>
    <row r="180" spans="1:19" ht="12.75" customHeight="1" x14ac:dyDescent="0.2">
      <c r="A180" s="289" t="s">
        <v>213</v>
      </c>
      <c r="B180" s="309">
        <v>1</v>
      </c>
      <c r="C180" s="257">
        <v>260</v>
      </c>
      <c r="D180" s="258">
        <v>1000</v>
      </c>
      <c r="E180" s="376">
        <f>IFERROR(((D180/C180)*($C$14+$C$15))*B180,0)</f>
        <v>21.923076923076923</v>
      </c>
      <c r="F180" s="13"/>
      <c r="S180" s="32"/>
    </row>
    <row r="181" spans="1:19" ht="12.75" customHeight="1" x14ac:dyDescent="0.25">
      <c r="A181" s="289" t="s">
        <v>212</v>
      </c>
      <c r="B181" s="309">
        <v>0</v>
      </c>
      <c r="C181" s="112">
        <v>400</v>
      </c>
      <c r="D181" s="140">
        <v>0</v>
      </c>
      <c r="E181" s="343">
        <f t="shared" ref="E181:E182" si="10">IFERROR(((D181/C181)*($C$14+$C$15))*B181,0)</f>
        <v>0</v>
      </c>
      <c r="F181" s="13"/>
      <c r="H181" s="273" t="s">
        <v>362</v>
      </c>
      <c r="I181" s="262"/>
      <c r="J181" s="262"/>
      <c r="K181" s="262"/>
      <c r="L181" s="263"/>
      <c r="M181" s="264"/>
      <c r="S181" s="32"/>
    </row>
    <row r="182" spans="1:19" ht="12.75" customHeight="1" x14ac:dyDescent="0.25">
      <c r="A182" s="289" t="s">
        <v>182</v>
      </c>
      <c r="B182" s="309"/>
      <c r="C182" s="112"/>
      <c r="D182" s="140"/>
      <c r="E182" s="343">
        <f t="shared" si="10"/>
        <v>0</v>
      </c>
      <c r="F182" s="13"/>
      <c r="H182" s="578" t="s">
        <v>363</v>
      </c>
      <c r="I182" s="579"/>
      <c r="J182" s="266"/>
      <c r="K182" s="267"/>
      <c r="L182" s="580" t="s">
        <v>364</v>
      </c>
      <c r="M182" s="581"/>
      <c r="S182" s="32"/>
    </row>
    <row r="183" spans="1:19" ht="12.75" customHeight="1" x14ac:dyDescent="0.25">
      <c r="A183" s="279"/>
      <c r="B183" s="185" t="s">
        <v>181</v>
      </c>
      <c r="C183" s="201" t="s">
        <v>280</v>
      </c>
      <c r="D183" s="409" t="s">
        <v>279</v>
      </c>
      <c r="E183" s="156"/>
      <c r="F183" s="13"/>
      <c r="H183" s="582" t="s">
        <v>365</v>
      </c>
      <c r="I183" s="266"/>
      <c r="J183" s="266"/>
      <c r="K183" s="266"/>
      <c r="L183" s="579" t="s">
        <v>366</v>
      </c>
      <c r="M183" s="269"/>
      <c r="S183" s="32"/>
    </row>
    <row r="184" spans="1:19" ht="12.75" customHeight="1" x14ac:dyDescent="0.25">
      <c r="A184" s="289" t="s">
        <v>179</v>
      </c>
      <c r="B184" s="297"/>
      <c r="C184" s="112"/>
      <c r="D184" s="140"/>
      <c r="E184" s="343">
        <f>IFERROR(((D184/C184)*($C$14+$C$15))*B184,0)</f>
        <v>0</v>
      </c>
      <c r="F184" s="13"/>
      <c r="H184" s="582" t="s">
        <v>367</v>
      </c>
      <c r="I184" s="266"/>
      <c r="J184" s="266"/>
      <c r="K184" s="266"/>
      <c r="L184" s="579" t="s">
        <v>374</v>
      </c>
      <c r="M184" s="269"/>
      <c r="S184" s="32"/>
    </row>
    <row r="185" spans="1:19" ht="12.75" customHeight="1" x14ac:dyDescent="0.25">
      <c r="A185" s="185"/>
      <c r="B185" s="185"/>
      <c r="C185" s="69"/>
      <c r="D185" s="321" t="s">
        <v>155</v>
      </c>
      <c r="E185" s="91" t="s">
        <v>241</v>
      </c>
      <c r="F185" s="13"/>
      <c r="H185" s="582" t="s">
        <v>368</v>
      </c>
      <c r="I185" s="266"/>
      <c r="J185" s="266"/>
      <c r="K185" s="266"/>
      <c r="L185" s="579" t="s">
        <v>375</v>
      </c>
      <c r="M185" s="269"/>
      <c r="S185" s="32"/>
    </row>
    <row r="186" spans="1:19" ht="12.75" customHeight="1" x14ac:dyDescent="0.25">
      <c r="A186" s="185" t="s">
        <v>214</v>
      </c>
      <c r="B186" s="274"/>
      <c r="C186" s="65"/>
      <c r="D186" s="276">
        <v>0.1</v>
      </c>
      <c r="E186" s="349">
        <f>(E18)*D186</f>
        <v>114</v>
      </c>
      <c r="F186" s="13"/>
      <c r="H186" s="582" t="s">
        <v>369</v>
      </c>
      <c r="I186" s="583"/>
      <c r="J186" s="583"/>
      <c r="K186" s="583"/>
      <c r="L186" s="584" t="s">
        <v>376</v>
      </c>
      <c r="M186" s="269"/>
      <c r="S186" s="32"/>
    </row>
    <row r="187" spans="1:19" s="56" customFormat="1" ht="12.75" customHeight="1" x14ac:dyDescent="0.25">
      <c r="A187" s="205" t="s">
        <v>104</v>
      </c>
      <c r="B187" s="160"/>
      <c r="C187" s="206"/>
      <c r="D187" s="207"/>
      <c r="E187" s="208"/>
      <c r="F187" s="146"/>
      <c r="H187" s="582" t="s">
        <v>370</v>
      </c>
      <c r="I187" s="585"/>
      <c r="J187" s="585"/>
      <c r="K187" s="585"/>
      <c r="L187" s="585" t="s">
        <v>377</v>
      </c>
      <c r="M187" s="587"/>
      <c r="S187" s="200"/>
    </row>
    <row r="188" spans="1:19" ht="12.75" customHeight="1" x14ac:dyDescent="0.25">
      <c r="A188" s="185"/>
      <c r="B188" s="185"/>
      <c r="C188" s="320" t="s">
        <v>125</v>
      </c>
      <c r="D188" s="321" t="s">
        <v>105</v>
      </c>
      <c r="E188" s="85" t="s">
        <v>241</v>
      </c>
      <c r="F188" s="2"/>
      <c r="G188" s="29"/>
      <c r="H188" s="582" t="s">
        <v>371</v>
      </c>
      <c r="I188" s="585"/>
      <c r="J188" s="585"/>
      <c r="K188" s="585"/>
      <c r="L188" s="585" t="s">
        <v>378</v>
      </c>
      <c r="M188" s="587"/>
      <c r="S188" s="32"/>
    </row>
    <row r="189" spans="1:19" ht="12.75" customHeight="1" x14ac:dyDescent="0.25">
      <c r="A189" s="365" t="s">
        <v>45</v>
      </c>
      <c r="B189" s="366"/>
      <c r="C189" s="240">
        <v>1.5</v>
      </c>
      <c r="D189" s="140">
        <v>15</v>
      </c>
      <c r="E189" s="343">
        <f>C189*D189</f>
        <v>22.5</v>
      </c>
      <c r="F189" s="2"/>
      <c r="H189" s="582" t="s">
        <v>372</v>
      </c>
      <c r="I189" s="585"/>
      <c r="J189" s="585"/>
      <c r="K189" s="585"/>
      <c r="L189" s="585" t="s">
        <v>379</v>
      </c>
      <c r="M189" s="587"/>
      <c r="S189" s="32"/>
    </row>
    <row r="190" spans="1:19" ht="12.75" customHeight="1" x14ac:dyDescent="0.25">
      <c r="A190" s="185"/>
      <c r="B190" s="185"/>
      <c r="C190" s="65"/>
      <c r="D190" s="66"/>
      <c r="E190" s="17"/>
      <c r="F190" s="2"/>
      <c r="H190" s="589" t="s">
        <v>373</v>
      </c>
      <c r="I190" s="586"/>
      <c r="J190" s="586"/>
      <c r="K190" s="586"/>
      <c r="L190" s="586" t="s">
        <v>380</v>
      </c>
      <c r="M190" s="588"/>
      <c r="S190" s="32"/>
    </row>
    <row r="191" spans="1:19" ht="12.75" customHeight="1" x14ac:dyDescent="0.25">
      <c r="A191" s="209"/>
      <c r="B191" s="167"/>
      <c r="C191" s="161"/>
      <c r="D191" s="162"/>
      <c r="E191" s="211"/>
      <c r="F191" s="146"/>
      <c r="H191" s="590" t="s">
        <v>381</v>
      </c>
    </row>
    <row r="192" spans="1:19" ht="12.75" customHeight="1" x14ac:dyDescent="0.2">
      <c r="A192" s="52" t="s">
        <v>113</v>
      </c>
      <c r="B192" s="2"/>
      <c r="C192" s="327">
        <v>5.1999999999999998E-2</v>
      </c>
      <c r="D192" s="2"/>
      <c r="E192" s="339">
        <f>(C192*0.67)*(E116+(0.2*E130))</f>
        <v>21.912618000000002</v>
      </c>
      <c r="F192" s="2"/>
      <c r="G192" s="136" t="s">
        <v>59</v>
      </c>
      <c r="H192" s="137"/>
      <c r="I192" s="137"/>
      <c r="J192" s="137"/>
      <c r="K192" s="137"/>
      <c r="L192" s="138"/>
    </row>
    <row r="193" spans="1:13" ht="12.75" customHeight="1" x14ac:dyDescent="0.2">
      <c r="A193" s="23"/>
      <c r="B193" s="2"/>
      <c r="C193" s="2"/>
      <c r="D193" s="2"/>
      <c r="E193" s="30"/>
      <c r="F193" s="2"/>
      <c r="G193" s="20"/>
      <c r="H193" s="20"/>
      <c r="I193" s="70"/>
      <c r="J193" s="70"/>
      <c r="K193" s="20"/>
      <c r="L193" s="70"/>
      <c r="M193" s="71"/>
    </row>
    <row r="194" spans="1:13" ht="12.75" customHeight="1" x14ac:dyDescent="0.2">
      <c r="A194" s="52" t="s">
        <v>85</v>
      </c>
      <c r="B194" s="68"/>
      <c r="C194" s="69"/>
      <c r="D194" s="66"/>
      <c r="E194" s="341">
        <f>E18*0.05</f>
        <v>57</v>
      </c>
      <c r="F194" s="58"/>
    </row>
    <row r="195" spans="1:13" ht="12.75" customHeight="1" x14ac:dyDescent="0.2">
      <c r="A195" s="67" t="s">
        <v>232</v>
      </c>
      <c r="B195" s="2"/>
      <c r="C195" s="24"/>
      <c r="E195" s="341">
        <f>E116+E130+E177+E180+E181+E182+E184+E189+E192</f>
        <v>918.48569492307695</v>
      </c>
      <c r="F195" s="2"/>
    </row>
    <row r="196" spans="1:13" ht="12.75" customHeight="1" x14ac:dyDescent="0.2">
      <c r="A196" s="67" t="s">
        <v>231</v>
      </c>
      <c r="B196" s="2"/>
      <c r="C196" s="2"/>
      <c r="D196" s="24"/>
      <c r="E196" s="341">
        <f>E18-E195</f>
        <v>221.51430507692305</v>
      </c>
      <c r="F196" s="2"/>
    </row>
    <row r="197" spans="1:13" ht="14.25" x14ac:dyDescent="0.2">
      <c r="A197" s="33"/>
      <c r="B197" s="2"/>
      <c r="C197" s="85"/>
      <c r="D197" s="85"/>
      <c r="E197" s="86"/>
    </row>
    <row r="198" spans="1:13" x14ac:dyDescent="0.2">
      <c r="A198" s="252" t="s">
        <v>219</v>
      </c>
      <c r="B198" s="7"/>
      <c r="C198" s="65"/>
      <c r="D198" s="84"/>
      <c r="E198" s="350">
        <f>E195/(C14+C15)</f>
        <v>161.13784121457491</v>
      </c>
    </row>
    <row r="199" spans="1:13" x14ac:dyDescent="0.2">
      <c r="A199" s="329" t="s">
        <v>220</v>
      </c>
      <c r="B199" s="7"/>
      <c r="C199" s="2"/>
      <c r="D199" s="2"/>
      <c r="E199" s="341">
        <f>E195/(C16+C17)</f>
        <v>189.57393084067635</v>
      </c>
    </row>
    <row r="200" spans="1:13" x14ac:dyDescent="0.2">
      <c r="A200" s="6"/>
      <c r="B200" s="7"/>
      <c r="C200" s="2"/>
      <c r="D200" s="2"/>
      <c r="E200" s="2"/>
    </row>
    <row r="201" spans="1:13" x14ac:dyDescent="0.2">
      <c r="C201" s="595" t="s">
        <v>26</v>
      </c>
      <c r="D201" s="596"/>
      <c r="E201" s="596"/>
      <c r="F201" s="596"/>
      <c r="G201" s="597"/>
    </row>
    <row r="202" spans="1:13" x14ac:dyDescent="0.2">
      <c r="C202" s="558"/>
      <c r="D202" s="559"/>
      <c r="E202" s="559"/>
      <c r="F202" s="559"/>
      <c r="G202" s="560"/>
    </row>
    <row r="203" spans="1:13" x14ac:dyDescent="0.2">
      <c r="C203" s="600" t="s">
        <v>18</v>
      </c>
      <c r="D203" s="601"/>
      <c r="E203" s="601"/>
      <c r="F203" s="601"/>
      <c r="G203" s="602"/>
    </row>
    <row r="204" spans="1:13" x14ac:dyDescent="0.2">
      <c r="A204" s="598" t="s">
        <v>24</v>
      </c>
      <c r="B204" s="599"/>
      <c r="C204" s="35"/>
      <c r="D204" s="35"/>
      <c r="E204" s="35"/>
      <c r="F204" s="36"/>
      <c r="G204" s="36"/>
    </row>
    <row r="205" spans="1:13" x14ac:dyDescent="0.2">
      <c r="A205" s="357" t="s">
        <v>27</v>
      </c>
      <c r="B205" s="561" t="s">
        <v>303</v>
      </c>
      <c r="C205" s="600" t="s">
        <v>26</v>
      </c>
      <c r="D205" s="601"/>
      <c r="E205" s="601"/>
      <c r="F205" s="601"/>
      <c r="G205" s="602"/>
    </row>
    <row r="206" spans="1:13" x14ac:dyDescent="0.2">
      <c r="A206" s="38" t="s">
        <v>21</v>
      </c>
      <c r="B206" s="39">
        <f>C14*1.2</f>
        <v>6.84</v>
      </c>
      <c r="C206" s="40">
        <f>(C$211*$B206)-$E$195</f>
        <v>175.91430507692314</v>
      </c>
      <c r="D206" s="40">
        <f>(D$211*B206)-$E$195</f>
        <v>312.7143050769231</v>
      </c>
      <c r="E206" s="40">
        <f>(E$211*$B206)-E$195</f>
        <v>449.51430507692305</v>
      </c>
      <c r="F206" s="41">
        <f>(F$211*$B206)-E$195</f>
        <v>586.31430507692323</v>
      </c>
      <c r="G206" s="41">
        <f>(G$211*B206)-E$195</f>
        <v>723.11430507692296</v>
      </c>
    </row>
    <row r="207" spans="1:13" x14ac:dyDescent="0.2">
      <c r="A207" s="38" t="s">
        <v>20</v>
      </c>
      <c r="B207" s="39">
        <f>C14*1.1</f>
        <v>6.2700000000000005</v>
      </c>
      <c r="C207" s="40">
        <f>(C$211*B207)-$E$195</f>
        <v>84.714305076923097</v>
      </c>
      <c r="D207" s="40">
        <f>(D$211*B207)-$E$195</f>
        <v>210.11430507692319</v>
      </c>
      <c r="E207" s="40">
        <f>(E$211*$B207)-E$195</f>
        <v>335.51430507692305</v>
      </c>
      <c r="F207" s="41">
        <f>(F$211*$B207)-E$195</f>
        <v>460.91430507692337</v>
      </c>
      <c r="G207" s="41">
        <f>(G$211*B207)-E$195</f>
        <v>586.31430507692323</v>
      </c>
    </row>
    <row r="208" spans="1:13" x14ac:dyDescent="0.2">
      <c r="A208" s="250"/>
      <c r="B208" s="39">
        <f>C14</f>
        <v>5.7</v>
      </c>
      <c r="C208" s="40">
        <f>(C$211*B208)-$E$195</f>
        <v>-6.4856949230769487</v>
      </c>
      <c r="D208" s="40">
        <f>(D$211*B208)-$E$195</f>
        <v>107.51430507692305</v>
      </c>
      <c r="E208" s="43">
        <f>(E$211*$B208)-E$195</f>
        <v>221.51430507692305</v>
      </c>
      <c r="F208" s="41">
        <f>(F$211*$B208)-E$195</f>
        <v>335.51430507692328</v>
      </c>
      <c r="G208" s="41">
        <f>(G$211*B208)-E$195</f>
        <v>449.51430507692305</v>
      </c>
    </row>
    <row r="209" spans="1:7" x14ac:dyDescent="0.2">
      <c r="A209" s="38" t="s">
        <v>22</v>
      </c>
      <c r="B209" s="39">
        <f>C14*0.9</f>
        <v>5.13</v>
      </c>
      <c r="C209" s="40">
        <f>(C$211*B209)-$E$195</f>
        <v>-97.685694923076994</v>
      </c>
      <c r="D209" s="40">
        <f>(D$211*B209)-$E$195</f>
        <v>4.9143050769230285</v>
      </c>
      <c r="E209" s="40">
        <f>(E$211*$B209)-E$195</f>
        <v>107.51430507692305</v>
      </c>
      <c r="F209" s="41">
        <f>(F$211*$B209)-E$195</f>
        <v>210.11430507692319</v>
      </c>
      <c r="G209" s="41">
        <f>(G$211*B209)-E$195</f>
        <v>312.7143050769231</v>
      </c>
    </row>
    <row r="210" spans="1:7" x14ac:dyDescent="0.2">
      <c r="A210" s="38" t="s">
        <v>23</v>
      </c>
      <c r="B210" s="39">
        <f>C14*0.8</f>
        <v>4.5600000000000005</v>
      </c>
      <c r="C210" s="40">
        <f>(C$211*B210)-$E$195</f>
        <v>-188.88569492307681</v>
      </c>
      <c r="D210" s="40">
        <f>(D$211*B210)-$E$195</f>
        <v>-97.685694923076881</v>
      </c>
      <c r="E210" s="40">
        <f>(E$211*$B210)-E$195</f>
        <v>-6.485694923076835</v>
      </c>
      <c r="F210" s="41">
        <f>(F$211*$B210)-E$195</f>
        <v>84.714305076923324</v>
      </c>
      <c r="G210" s="41">
        <f>(G$211*B210)-E$195</f>
        <v>175.91430507692314</v>
      </c>
    </row>
    <row r="211" spans="1:7" x14ac:dyDescent="0.2">
      <c r="A211" s="356" t="s">
        <v>25</v>
      </c>
      <c r="B211" s="351"/>
      <c r="C211" s="352">
        <f>D14*0.8</f>
        <v>160</v>
      </c>
      <c r="D211" s="352">
        <f>D14*0.9</f>
        <v>180</v>
      </c>
      <c r="E211" s="352">
        <f>D14</f>
        <v>200</v>
      </c>
      <c r="F211" s="352">
        <f>D14*1.1</f>
        <v>220.00000000000003</v>
      </c>
      <c r="G211" s="352">
        <f>D14*1.2</f>
        <v>240</v>
      </c>
    </row>
    <row r="212" spans="1:7" x14ac:dyDescent="0.2">
      <c r="A212" s="356" t="s">
        <v>19</v>
      </c>
      <c r="B212" s="351"/>
      <c r="C212" s="353" t="s">
        <v>23</v>
      </c>
      <c r="D212" s="353" t="s">
        <v>22</v>
      </c>
      <c r="E212" s="354"/>
      <c r="F212" s="353" t="s">
        <v>20</v>
      </c>
      <c r="G212" s="355" t="s">
        <v>21</v>
      </c>
    </row>
  </sheetData>
  <sheetProtection algorithmName="SHA-512" hashValue="rHKKekrqyrGmp/OzqmvRlvExYKeTT567F4/ZBwuURT5WN+4vBMmepRpxCnDv4QwFL8R1j0jMxtL0jgtqX6qxig==" saltValue="3opzeuxX/hGp7LkWS/obJw==" spinCount="100000" sheet="1" objects="1" scenarios="1"/>
  <mergeCells count="4">
    <mergeCell ref="C201:G201"/>
    <mergeCell ref="C203:G203"/>
    <mergeCell ref="A204:B204"/>
    <mergeCell ref="C205:G205"/>
  </mergeCells>
  <hyperlinks>
    <hyperlink ref="I135" r:id="rId1" xr:uid="{C09D068A-FCDF-4EF6-ACA1-3DEDDF6E0DDB}"/>
    <hyperlink ref="I142" r:id="rId2" xr:uid="{9F98C5F7-E6B2-4B01-83BE-B2FA847919C3}"/>
    <hyperlink ref="I136" r:id="rId3" xr:uid="{7A4E0200-10BB-44E7-8E88-6D96298E17B7}"/>
    <hyperlink ref="I139" r:id="rId4" xr:uid="{2D14EA16-4A85-403C-B643-3BD5B0C3CA80}"/>
  </hyperlinks>
  <pageMargins left="0.7" right="0.7" top="0.75" bottom="0.75" header="0.3" footer="0.3"/>
  <pageSetup scale="39" fitToHeight="0" orientation="portrait" verticalDpi="0"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X212"/>
  <sheetViews>
    <sheetView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9" t="s">
        <v>29</v>
      </c>
      <c r="E1" s="57"/>
    </row>
    <row r="2" spans="1:14" ht="8.25" customHeight="1" x14ac:dyDescent="0.2"/>
    <row r="3" spans="1:14" ht="15" customHeight="1" x14ac:dyDescent="0.2"/>
    <row r="4" spans="1:14" ht="8.25" customHeight="1" x14ac:dyDescent="0.2"/>
    <row r="5" spans="1:14" ht="18.75" customHeight="1" x14ac:dyDescent="0.25">
      <c r="A5" s="4" t="s">
        <v>343</v>
      </c>
      <c r="B5" s="2"/>
      <c r="D5" s="28"/>
      <c r="E5" s="286"/>
      <c r="F5" s="2"/>
      <c r="G5" s="2"/>
      <c r="H5" s="2"/>
      <c r="I5" s="2"/>
      <c r="J5" s="2"/>
      <c r="K5" s="2"/>
    </row>
    <row r="6" spans="1:14" ht="5.25" customHeight="1" x14ac:dyDescent="0.2">
      <c r="A6" s="2"/>
      <c r="B6" s="2"/>
      <c r="C6" s="2"/>
      <c r="D6" s="2"/>
      <c r="E6" s="2"/>
      <c r="F6" s="2"/>
      <c r="G6" s="2"/>
      <c r="H6" s="2"/>
      <c r="I6" s="2"/>
      <c r="J6" s="2"/>
      <c r="K6" s="2"/>
    </row>
    <row r="7" spans="1:14" x14ac:dyDescent="0.2">
      <c r="A7" s="44" t="s">
        <v>83</v>
      </c>
      <c r="B7" s="2"/>
      <c r="D7" s="2"/>
      <c r="E7" s="111"/>
      <c r="F7" s="2"/>
      <c r="G7" s="2"/>
      <c r="H7" s="2"/>
      <c r="I7" s="60"/>
      <c r="J7" s="2"/>
      <c r="K7" s="2"/>
    </row>
    <row r="8" spans="1:14" x14ac:dyDescent="0.2">
      <c r="A8" s="44" t="s">
        <v>229</v>
      </c>
      <c r="B8" s="2"/>
      <c r="D8" s="2"/>
      <c r="E8" s="340"/>
      <c r="F8" s="2"/>
      <c r="G8" s="2"/>
      <c r="H8" s="2"/>
      <c r="I8" s="2"/>
      <c r="J8" s="2"/>
      <c r="K8" s="2"/>
    </row>
    <row r="9" spans="1:14" x14ac:dyDescent="0.2">
      <c r="A9" s="44" t="s">
        <v>71</v>
      </c>
      <c r="B9" s="2"/>
      <c r="D9" s="2"/>
      <c r="E9" s="125"/>
      <c r="F9" s="2"/>
      <c r="G9" s="2"/>
      <c r="H9" s="2"/>
      <c r="I9" s="2"/>
      <c r="J9" s="2"/>
      <c r="K9" s="2"/>
    </row>
    <row r="10" spans="1:14" x14ac:dyDescent="0.2">
      <c r="A10" s="44"/>
      <c r="B10" s="2"/>
      <c r="D10" s="2"/>
      <c r="E10" s="5"/>
      <c r="F10" s="2"/>
      <c r="G10" s="2"/>
      <c r="H10" s="2"/>
      <c r="I10" s="2"/>
      <c r="J10" s="2"/>
      <c r="K10" s="2"/>
    </row>
    <row r="11" spans="1:14" ht="18" x14ac:dyDescent="0.25">
      <c r="A11" s="4" t="s">
        <v>344</v>
      </c>
      <c r="B11" s="594"/>
      <c r="C11" s="576"/>
      <c r="D11" s="2"/>
      <c r="E11" s="2"/>
      <c r="F11" s="2"/>
    </row>
    <row r="12" spans="1:14" x14ac:dyDescent="0.2">
      <c r="A12" s="178" t="s">
        <v>37</v>
      </c>
      <c r="B12" s="176"/>
      <c r="C12" s="177"/>
      <c r="D12" s="176"/>
      <c r="E12" s="176"/>
      <c r="F12" s="146"/>
    </row>
    <row r="13" spans="1:14" x14ac:dyDescent="0.2">
      <c r="A13" s="44"/>
      <c r="B13" s="310" t="s">
        <v>307</v>
      </c>
      <c r="C13" s="85" t="s">
        <v>308</v>
      </c>
      <c r="D13" s="310" t="s">
        <v>240</v>
      </c>
      <c r="E13" s="310" t="s">
        <v>237</v>
      </c>
      <c r="F13" s="2"/>
      <c r="H13" s="72" t="s">
        <v>171</v>
      </c>
      <c r="I13" s="72"/>
      <c r="J13" s="72"/>
      <c r="K13" s="72"/>
    </row>
    <row r="14" spans="1:14" x14ac:dyDescent="0.2">
      <c r="A14" s="67" t="s">
        <v>217</v>
      </c>
      <c r="B14" s="377">
        <v>0.6</v>
      </c>
      <c r="C14" s="240">
        <v>12</v>
      </c>
      <c r="D14" s="183">
        <v>100</v>
      </c>
      <c r="E14" s="339">
        <f>C14*D14</f>
        <v>1200</v>
      </c>
      <c r="F14" s="2"/>
      <c r="H14" s="29" t="s">
        <v>187</v>
      </c>
      <c r="J14" s="56"/>
      <c r="K14" s="56"/>
      <c r="L14" s="183">
        <v>185</v>
      </c>
      <c r="N14" s="29" t="s">
        <v>188</v>
      </c>
    </row>
    <row r="15" spans="1:14" x14ac:dyDescent="0.2">
      <c r="A15" s="67" t="s">
        <v>218</v>
      </c>
      <c r="B15" s="377">
        <v>0</v>
      </c>
      <c r="C15" s="240">
        <v>0</v>
      </c>
      <c r="D15" s="183">
        <v>0</v>
      </c>
      <c r="E15" s="339">
        <f>C15*D15</f>
        <v>0</v>
      </c>
      <c r="F15" s="2"/>
      <c r="H15" s="29" t="s">
        <v>185</v>
      </c>
      <c r="L15" s="577">
        <v>0.5</v>
      </c>
    </row>
    <row r="16" spans="1:14" x14ac:dyDescent="0.2">
      <c r="A16" s="67" t="s">
        <v>215</v>
      </c>
      <c r="B16" s="2"/>
      <c r="C16" s="407">
        <f>C14*(1-B14)</f>
        <v>4.8000000000000007</v>
      </c>
      <c r="D16" s="2"/>
      <c r="E16" s="328"/>
      <c r="F16" s="2"/>
      <c r="H16" s="29" t="s">
        <v>186</v>
      </c>
      <c r="L16" s="408">
        <f>(L14/0.87)*(1-L15)</f>
        <v>106.32183908045977</v>
      </c>
    </row>
    <row r="17" spans="1:24" x14ac:dyDescent="0.2">
      <c r="A17" s="67" t="s">
        <v>216</v>
      </c>
      <c r="B17" s="2"/>
      <c r="C17" s="407">
        <f>C15*(1-B15)</f>
        <v>0</v>
      </c>
      <c r="D17" s="2"/>
      <c r="E17" s="328"/>
      <c r="F17" s="2"/>
      <c r="H17" s="29"/>
      <c r="L17" s="331"/>
    </row>
    <row r="18" spans="1:24" x14ac:dyDescent="0.2">
      <c r="A18" s="229" t="s">
        <v>200</v>
      </c>
      <c r="B18" s="230"/>
      <c r="C18" s="226"/>
      <c r="D18" s="230"/>
      <c r="E18" s="341">
        <f>SUM(E14:E15)</f>
        <v>1200</v>
      </c>
      <c r="F18" s="2"/>
    </row>
    <row r="19" spans="1:24" x14ac:dyDescent="0.2">
      <c r="A19" s="178" t="s">
        <v>40</v>
      </c>
      <c r="B19" s="179"/>
      <c r="C19" s="180"/>
      <c r="D19" s="179"/>
      <c r="E19" s="179"/>
      <c r="F19" s="181"/>
    </row>
    <row r="20" spans="1:24" ht="12" customHeight="1" x14ac:dyDescent="0.2">
      <c r="A20" s="25"/>
      <c r="B20" s="7"/>
      <c r="C20" s="5"/>
      <c r="D20" s="7"/>
      <c r="E20" s="7"/>
      <c r="F20" s="2"/>
    </row>
    <row r="21" spans="1:24" x14ac:dyDescent="0.2">
      <c r="A21" s="168" t="s">
        <v>4</v>
      </c>
      <c r="B21" s="144"/>
      <c r="C21" s="167"/>
      <c r="D21" s="167"/>
      <c r="E21" s="167"/>
      <c r="F21" s="146"/>
      <c r="M21" s="56"/>
      <c r="N21" s="56"/>
      <c r="O21" s="56"/>
      <c r="P21" s="56"/>
    </row>
    <row r="22" spans="1:24" ht="15" customHeight="1" x14ac:dyDescent="0.2">
      <c r="A22" s="152" t="s">
        <v>88</v>
      </c>
      <c r="B22" s="153"/>
      <c r="C22" s="154"/>
      <c r="D22" s="154"/>
      <c r="E22" s="154"/>
      <c r="F22" s="151"/>
      <c r="G22" s="42"/>
      <c r="H22" s="108"/>
      <c r="I22" s="42"/>
      <c r="J22" s="108"/>
      <c r="K22" s="42"/>
      <c r="M22" s="73"/>
      <c r="N22" s="56"/>
      <c r="O22" s="56"/>
      <c r="P22" s="56"/>
    </row>
    <row r="23" spans="1:24" x14ac:dyDescent="0.2">
      <c r="A23" s="53"/>
      <c r="B23" s="91" t="s">
        <v>238</v>
      </c>
      <c r="C23" s="91" t="s">
        <v>239</v>
      </c>
      <c r="D23" s="91" t="s">
        <v>240</v>
      </c>
      <c r="E23" s="91" t="s">
        <v>241</v>
      </c>
      <c r="F23" s="2"/>
      <c r="G23" s="109"/>
      <c r="H23" s="100"/>
      <c r="I23" s="42"/>
      <c r="J23" s="100"/>
      <c r="K23" s="108"/>
      <c r="M23" s="73"/>
      <c r="N23" s="56"/>
      <c r="O23" s="56"/>
      <c r="P23" s="56"/>
    </row>
    <row r="24" spans="1:24" x14ac:dyDescent="0.2">
      <c r="A24" s="61" t="s">
        <v>304</v>
      </c>
      <c r="B24" s="297"/>
      <c r="C24" s="124">
        <v>0</v>
      </c>
      <c r="D24" s="140">
        <v>0</v>
      </c>
      <c r="E24" s="342">
        <f>((D24/2000)*B24*C24)</f>
        <v>0</v>
      </c>
      <c r="F24" s="2"/>
      <c r="G24" s="89"/>
      <c r="H24" s="10"/>
      <c r="I24" s="116"/>
      <c r="J24" s="10"/>
      <c r="K24" s="42"/>
      <c r="M24" s="56"/>
      <c r="N24" s="56"/>
      <c r="O24" s="73"/>
      <c r="P24" s="73"/>
      <c r="Q24" s="73"/>
      <c r="R24" s="73"/>
      <c r="S24" s="56"/>
      <c r="T24" s="56"/>
      <c r="U24" s="56"/>
      <c r="V24" s="56"/>
      <c r="W24" s="56"/>
      <c r="X24" s="56"/>
    </row>
    <row r="25" spans="1:24" x14ac:dyDescent="0.2">
      <c r="A25" s="61"/>
      <c r="B25" s="63"/>
      <c r="C25" s="75"/>
      <c r="D25" s="17"/>
      <c r="E25" s="74"/>
      <c r="F25" s="2"/>
      <c r="G25" s="89"/>
      <c r="H25" s="10"/>
      <c r="I25" s="116"/>
      <c r="J25" s="10"/>
      <c r="K25" s="42"/>
      <c r="M25" s="56"/>
      <c r="N25" s="56"/>
      <c r="O25" s="73"/>
      <c r="P25" s="73"/>
      <c r="Q25" s="73"/>
      <c r="R25" s="73"/>
      <c r="S25" s="56"/>
      <c r="T25" s="56"/>
      <c r="U25" s="56"/>
      <c r="V25" s="56"/>
      <c r="W25" s="56"/>
      <c r="X25" s="56"/>
    </row>
    <row r="26" spans="1:24" x14ac:dyDescent="0.2">
      <c r="A26" s="53"/>
      <c r="C26" s="91" t="s">
        <v>87</v>
      </c>
      <c r="D26" s="91" t="s">
        <v>240</v>
      </c>
      <c r="E26" s="91" t="s">
        <v>241</v>
      </c>
      <c r="F26" s="2"/>
      <c r="G26" s="109"/>
      <c r="H26" s="100"/>
      <c r="I26" s="42"/>
      <c r="J26" s="100"/>
      <c r="K26" s="108"/>
      <c r="M26" s="73"/>
      <c r="N26" s="56"/>
      <c r="O26" s="56"/>
      <c r="P26" s="56"/>
    </row>
    <row r="27" spans="1:24" x14ac:dyDescent="0.2">
      <c r="A27" s="298" t="s">
        <v>172</v>
      </c>
      <c r="B27" s="7"/>
      <c r="C27" s="112">
        <v>75</v>
      </c>
      <c r="D27" s="140">
        <v>800</v>
      </c>
      <c r="E27" s="343">
        <f>C27*(D27/2000)</f>
        <v>30</v>
      </c>
      <c r="F27" s="2"/>
      <c r="G27" s="14"/>
      <c r="H27" s="3"/>
      <c r="I27" s="42"/>
      <c r="J27" s="90"/>
      <c r="K27" s="42"/>
    </row>
    <row r="28" spans="1:24" x14ac:dyDescent="0.2">
      <c r="A28" s="298" t="s">
        <v>66</v>
      </c>
      <c r="B28" s="7"/>
      <c r="C28" s="123"/>
      <c r="D28" s="140">
        <v>0</v>
      </c>
      <c r="E28" s="344">
        <f>C28*(D28/2000)</f>
        <v>0</v>
      </c>
      <c r="F28" s="2"/>
      <c r="G28" s="14"/>
      <c r="H28" s="3"/>
      <c r="I28" s="42"/>
      <c r="J28" s="90"/>
      <c r="K28" s="42"/>
    </row>
    <row r="29" spans="1:24" x14ac:dyDescent="0.2">
      <c r="A29" s="299" t="s">
        <v>66</v>
      </c>
      <c r="B29" s="7"/>
      <c r="C29" s="123"/>
      <c r="D29" s="281"/>
      <c r="E29" s="344">
        <f>C29*(D29/2000)</f>
        <v>0</v>
      </c>
      <c r="F29" s="2"/>
      <c r="G29" s="14"/>
      <c r="H29" s="3"/>
      <c r="I29" s="42"/>
      <c r="J29" s="90"/>
      <c r="K29" s="42"/>
    </row>
    <row r="30" spans="1:24" x14ac:dyDescent="0.2">
      <c r="A30" s="298"/>
      <c r="B30" s="11"/>
      <c r="C30" s="112"/>
      <c r="D30" s="140"/>
      <c r="E30" s="343">
        <f>C30*(D30/2000)</f>
        <v>0</v>
      </c>
      <c r="F30" s="2"/>
      <c r="G30" s="14"/>
      <c r="H30" s="3"/>
      <c r="I30" s="42"/>
      <c r="J30" s="90"/>
      <c r="K30" s="42"/>
    </row>
    <row r="31" spans="1:24" x14ac:dyDescent="0.2">
      <c r="A31" s="147"/>
      <c r="B31" s="148"/>
      <c r="C31" s="65"/>
      <c r="D31" s="169"/>
      <c r="E31" s="145"/>
      <c r="F31" s="2"/>
      <c r="G31" s="14"/>
      <c r="H31" s="3"/>
      <c r="I31" s="42"/>
      <c r="J31" s="90"/>
      <c r="K31" s="42"/>
    </row>
    <row r="32" spans="1:24" ht="14.25" customHeight="1" x14ac:dyDescent="0.2">
      <c r="A32" s="149" t="s">
        <v>135</v>
      </c>
      <c r="B32" s="150"/>
      <c r="C32" s="231"/>
      <c r="D32" s="232"/>
      <c r="E32" s="232"/>
      <c r="F32" s="151"/>
      <c r="G32" s="2"/>
      <c r="H32" s="2"/>
      <c r="I32" s="2"/>
      <c r="J32" s="2"/>
      <c r="K32" s="2"/>
      <c r="L32" s="56"/>
      <c r="M32" s="56"/>
      <c r="N32" s="56"/>
      <c r="O32" s="56"/>
      <c r="P32" s="56"/>
      <c r="Q32" s="56"/>
      <c r="R32" s="56"/>
      <c r="S32" s="56"/>
      <c r="T32" s="56"/>
    </row>
    <row r="33" spans="1:20" ht="14.25" customHeight="1" x14ac:dyDescent="0.2">
      <c r="A33" s="76" t="s">
        <v>305</v>
      </c>
      <c r="B33" s="2"/>
      <c r="C33" s="311" t="s">
        <v>68</v>
      </c>
      <c r="D33" s="310" t="s">
        <v>69</v>
      </c>
      <c r="E33" s="91" t="s">
        <v>241</v>
      </c>
      <c r="F33" s="2"/>
      <c r="G33" s="2"/>
      <c r="H33" s="2"/>
      <c r="I33" s="2"/>
      <c r="J33" s="2"/>
      <c r="K33" s="2"/>
      <c r="L33" s="56"/>
      <c r="M33" s="56"/>
      <c r="N33" s="56"/>
      <c r="O33" s="56"/>
      <c r="P33" s="56"/>
      <c r="Q33" s="56"/>
      <c r="R33" s="56"/>
      <c r="S33" s="56"/>
      <c r="T33" s="56"/>
    </row>
    <row r="34" spans="1:20" ht="14.25" customHeight="1" x14ac:dyDescent="0.2">
      <c r="A34" s="291" t="s">
        <v>14</v>
      </c>
      <c r="B34" s="251"/>
      <c r="C34" s="112">
        <v>145</v>
      </c>
      <c r="D34" s="140">
        <v>1.18</v>
      </c>
      <c r="E34" s="343">
        <f>C34*D34</f>
        <v>171.1</v>
      </c>
      <c r="F34" s="2"/>
      <c r="G34" s="2"/>
      <c r="H34" s="2"/>
      <c r="I34" s="2"/>
      <c r="J34" s="2"/>
      <c r="K34" s="2"/>
      <c r="L34" s="56"/>
      <c r="M34" s="56"/>
      <c r="N34" s="56"/>
      <c r="O34" s="56"/>
      <c r="P34" s="56"/>
      <c r="Q34" s="56"/>
      <c r="R34" s="56"/>
      <c r="S34" s="56"/>
      <c r="T34" s="56"/>
    </row>
    <row r="35" spans="1:20" ht="14.25" customHeight="1" x14ac:dyDescent="0.2">
      <c r="A35" s="312" t="s">
        <v>15</v>
      </c>
      <c r="B35" s="11"/>
      <c r="C35" s="112"/>
      <c r="D35" s="140"/>
      <c r="E35" s="343">
        <f t="shared" ref="E35:E37" si="0">C35*D35</f>
        <v>0</v>
      </c>
      <c r="F35" s="2"/>
      <c r="G35" s="2"/>
      <c r="H35" s="2"/>
      <c r="I35" s="2"/>
      <c r="J35" s="2"/>
      <c r="K35" s="2"/>
      <c r="L35" s="56"/>
      <c r="M35" s="56"/>
      <c r="N35" s="56"/>
      <c r="O35" s="56"/>
      <c r="P35" s="56"/>
      <c r="Q35" s="56"/>
      <c r="R35" s="56"/>
      <c r="S35" s="56"/>
      <c r="T35" s="56"/>
    </row>
    <row r="36" spans="1:20" ht="13.5" customHeight="1" x14ac:dyDescent="0.2">
      <c r="A36" s="312" t="s">
        <v>16</v>
      </c>
      <c r="B36" s="11"/>
      <c r="C36" s="112"/>
      <c r="D36" s="140"/>
      <c r="E36" s="343">
        <f t="shared" si="0"/>
        <v>0</v>
      </c>
      <c r="F36" s="2"/>
      <c r="G36" s="117"/>
      <c r="H36" s="118"/>
      <c r="I36" s="118"/>
      <c r="J36" s="99"/>
      <c r="K36" s="108"/>
      <c r="L36" s="108"/>
    </row>
    <row r="37" spans="1:20" ht="14.25" customHeight="1" x14ac:dyDescent="0.2">
      <c r="A37" s="313" t="s">
        <v>17</v>
      </c>
      <c r="B37" s="11"/>
      <c r="C37" s="112"/>
      <c r="D37" s="140"/>
      <c r="E37" s="344">
        <f t="shared" si="0"/>
        <v>0</v>
      </c>
      <c r="F37" s="2"/>
      <c r="G37" s="27"/>
      <c r="H37" s="10"/>
      <c r="I37" s="10"/>
      <c r="J37" s="10"/>
      <c r="K37" s="10"/>
      <c r="M37" s="56"/>
    </row>
    <row r="38" spans="1:20" ht="14.25" customHeight="1" x14ac:dyDescent="0.2">
      <c r="A38" s="289" t="s">
        <v>86</v>
      </c>
      <c r="B38" s="11"/>
      <c r="C38" s="65"/>
      <c r="D38" s="145"/>
      <c r="E38" s="300">
        <v>0</v>
      </c>
      <c r="F38" s="2"/>
      <c r="G38" s="27"/>
      <c r="H38" s="10"/>
      <c r="I38" s="10"/>
      <c r="J38" s="10"/>
      <c r="K38" s="10"/>
      <c r="M38" s="56"/>
    </row>
    <row r="39" spans="1:20" ht="14.25" customHeight="1" x14ac:dyDescent="0.2">
      <c r="A39" s="130" t="s">
        <v>136</v>
      </c>
      <c r="B39" s="129"/>
      <c r="C39" s="65"/>
      <c r="D39" s="145"/>
      <c r="E39" s="140">
        <v>0</v>
      </c>
      <c r="F39" s="2"/>
      <c r="G39" s="27"/>
      <c r="H39" s="10"/>
      <c r="I39" s="10"/>
      <c r="J39" s="10"/>
      <c r="K39" s="10"/>
      <c r="M39" s="56"/>
    </row>
    <row r="40" spans="1:20" ht="14.25" x14ac:dyDescent="0.25">
      <c r="A40" s="51"/>
      <c r="B40" s="11"/>
      <c r="C40" s="12" t="s">
        <v>194</v>
      </c>
      <c r="D40" s="318" t="s">
        <v>266</v>
      </c>
      <c r="E40" s="74"/>
      <c r="F40" s="2"/>
      <c r="G40" s="109"/>
      <c r="H40" s="13"/>
      <c r="I40" s="10"/>
      <c r="J40" s="13"/>
      <c r="K40" s="13"/>
      <c r="L40" s="42"/>
      <c r="M40" s="56"/>
    </row>
    <row r="41" spans="1:20" x14ac:dyDescent="0.2">
      <c r="A41" s="314" t="s">
        <v>193</v>
      </c>
      <c r="C41" s="112">
        <v>0</v>
      </c>
      <c r="D41" s="300"/>
      <c r="E41" s="345">
        <f t="shared" ref="E41" si="1">C41*D41</f>
        <v>0</v>
      </c>
      <c r="F41" s="2"/>
      <c r="G41" s="89"/>
      <c r="H41" s="10"/>
      <c r="I41" s="13"/>
      <c r="J41" s="13"/>
      <c r="K41" s="13"/>
      <c r="L41" s="42"/>
    </row>
    <row r="42" spans="1:20" ht="14.25" customHeight="1" x14ac:dyDescent="0.25">
      <c r="A42" s="61"/>
      <c r="B42" s="11"/>
      <c r="C42" s="310" t="s">
        <v>195</v>
      </c>
      <c r="D42" s="318" t="s">
        <v>265</v>
      </c>
      <c r="E42" s="74"/>
      <c r="F42" s="2"/>
      <c r="G42" s="14"/>
      <c r="H42" s="10"/>
      <c r="I42" s="13"/>
      <c r="J42" s="13"/>
      <c r="K42" s="100"/>
      <c r="L42" s="42"/>
      <c r="M42" s="56"/>
      <c r="N42" s="56"/>
      <c r="O42" s="56"/>
      <c r="P42" s="56"/>
      <c r="Q42" s="56"/>
    </row>
    <row r="43" spans="1:20" ht="14.25" customHeight="1" x14ac:dyDescent="0.2">
      <c r="A43" s="315" t="s">
        <v>13</v>
      </c>
      <c r="C43" s="112">
        <v>200</v>
      </c>
      <c r="D43" s="140">
        <v>0.71</v>
      </c>
      <c r="E43" s="343">
        <f>C43*D43</f>
        <v>142</v>
      </c>
      <c r="F43" s="2"/>
      <c r="G43" s="117"/>
      <c r="H43" s="118"/>
      <c r="I43" s="119"/>
      <c r="J43" s="119"/>
      <c r="K43" s="98"/>
      <c r="L43" s="99"/>
    </row>
    <row r="44" spans="1:20" ht="14.25" customHeight="1" x14ac:dyDescent="0.2">
      <c r="A44" s="6"/>
      <c r="B44" s="2"/>
      <c r="C44" s="19"/>
      <c r="D44" s="2"/>
      <c r="E44" s="2"/>
      <c r="F44" s="2"/>
      <c r="G44" s="14"/>
      <c r="H44" s="3"/>
      <c r="I44" s="3"/>
      <c r="J44" s="3"/>
      <c r="K44" s="3"/>
      <c r="L44" s="3"/>
    </row>
    <row r="45" spans="1:20" ht="14.25" customHeight="1" x14ac:dyDescent="0.2">
      <c r="A45" s="289" t="s">
        <v>133</v>
      </c>
      <c r="B45" s="11"/>
      <c r="C45" s="16"/>
      <c r="D45" s="17"/>
      <c r="E45" s="140">
        <v>0</v>
      </c>
      <c r="F45" s="2"/>
      <c r="G45" s="27"/>
      <c r="H45" s="10"/>
      <c r="I45" s="10"/>
      <c r="J45" s="10"/>
      <c r="K45" s="10"/>
      <c r="L45" s="10"/>
    </row>
    <row r="46" spans="1:20" ht="14.25" customHeight="1" x14ac:dyDescent="0.2">
      <c r="A46" s="238"/>
      <c r="B46" s="11"/>
      <c r="C46" s="16"/>
      <c r="D46" s="17"/>
      <c r="E46" s="156"/>
      <c r="F46" s="2"/>
      <c r="G46" s="27"/>
      <c r="H46" s="10"/>
      <c r="I46" s="10"/>
      <c r="J46" s="10"/>
      <c r="K46" s="10"/>
      <c r="L46" s="10"/>
    </row>
    <row r="47" spans="1:20" ht="14.25" customHeight="1" x14ac:dyDescent="0.2">
      <c r="A47" s="289" t="s">
        <v>7</v>
      </c>
      <c r="B47" s="11"/>
      <c r="C47" s="16"/>
      <c r="D47" s="17"/>
      <c r="E47" s="140">
        <v>0</v>
      </c>
      <c r="F47" s="2"/>
      <c r="G47" s="27"/>
      <c r="H47" s="10"/>
      <c r="I47" s="10"/>
      <c r="J47" s="10"/>
      <c r="K47" s="10"/>
      <c r="L47" s="10"/>
    </row>
    <row r="48" spans="1:20" ht="14.25" customHeight="1" x14ac:dyDescent="0.2">
      <c r="A48" s="289"/>
      <c r="B48" s="11"/>
      <c r="C48" s="16"/>
      <c r="D48" s="17"/>
      <c r="E48" s="140">
        <v>0</v>
      </c>
      <c r="F48" s="2"/>
      <c r="G48" s="27"/>
      <c r="H48" s="10"/>
      <c r="I48" s="10"/>
      <c r="J48" s="10"/>
      <c r="K48" s="10"/>
      <c r="L48" s="10"/>
    </row>
    <row r="49" spans="1:19" ht="14.25" customHeight="1" x14ac:dyDescent="0.2">
      <c r="A49" s="289"/>
      <c r="B49" s="11"/>
      <c r="C49" s="16"/>
      <c r="D49" s="17"/>
      <c r="E49" s="140">
        <v>0</v>
      </c>
      <c r="F49" s="2"/>
      <c r="G49" s="27"/>
      <c r="H49" s="10"/>
      <c r="I49" s="10"/>
      <c r="J49" s="10"/>
      <c r="K49" s="10"/>
      <c r="L49" s="10"/>
    </row>
    <row r="50" spans="1:19" ht="14.25" customHeight="1" x14ac:dyDescent="0.2">
      <c r="A50" s="52" t="s">
        <v>248</v>
      </c>
      <c r="B50" s="155"/>
      <c r="C50" s="316" t="s">
        <v>72</v>
      </c>
      <c r="D50" s="85" t="s">
        <v>256</v>
      </c>
      <c r="E50" s="17"/>
      <c r="F50" s="2"/>
      <c r="G50" s="27"/>
      <c r="H50" s="10"/>
      <c r="I50" s="10"/>
      <c r="J50" s="10"/>
      <c r="K50" s="10"/>
      <c r="L50" s="10"/>
    </row>
    <row r="51" spans="1:19" ht="14.25" customHeight="1" x14ac:dyDescent="0.2">
      <c r="A51" s="289" t="s">
        <v>89</v>
      </c>
      <c r="B51" s="20"/>
      <c r="C51" s="112">
        <v>4</v>
      </c>
      <c r="D51" s="140">
        <v>8</v>
      </c>
      <c r="E51" s="343">
        <f>D51*C51</f>
        <v>32</v>
      </c>
      <c r="F51" s="2"/>
      <c r="G51" s="27"/>
      <c r="H51" s="10"/>
      <c r="I51" s="10"/>
      <c r="J51" s="10"/>
      <c r="K51" s="10"/>
      <c r="L51" s="10"/>
    </row>
    <row r="52" spans="1:19" ht="14.25" customHeight="1" x14ac:dyDescent="0.2">
      <c r="A52" s="289"/>
      <c r="B52" s="20"/>
      <c r="C52" s="112"/>
      <c r="D52" s="140"/>
      <c r="E52" s="343">
        <f t="shared" ref="E52:E53" si="2">D52*C52</f>
        <v>0</v>
      </c>
      <c r="F52" s="2"/>
      <c r="G52" s="27"/>
      <c r="H52" s="10"/>
      <c r="I52" s="10"/>
      <c r="J52" s="10"/>
      <c r="K52" s="10"/>
      <c r="L52" s="10"/>
    </row>
    <row r="53" spans="1:19" ht="14.25" customHeight="1" x14ac:dyDescent="0.2">
      <c r="A53" s="289"/>
      <c r="B53" s="20"/>
      <c r="C53" s="112"/>
      <c r="D53" s="140"/>
      <c r="E53" s="343">
        <f t="shared" si="2"/>
        <v>0</v>
      </c>
      <c r="F53" s="2"/>
      <c r="G53" s="27"/>
      <c r="H53" s="10"/>
      <c r="I53" s="10"/>
      <c r="J53" s="10"/>
      <c r="K53" s="10"/>
      <c r="L53" s="10"/>
    </row>
    <row r="54" spans="1:19" ht="14.25" customHeight="1" x14ac:dyDescent="0.2">
      <c r="A54" s="52"/>
      <c r="B54" s="11"/>
      <c r="C54" s="16"/>
      <c r="D54" s="17"/>
      <c r="E54" s="17"/>
      <c r="F54" s="2"/>
      <c r="G54" s="27"/>
      <c r="H54" s="10"/>
      <c r="I54" s="10"/>
      <c r="J54" s="10"/>
      <c r="K54" s="10"/>
      <c r="L54" s="10"/>
    </row>
    <row r="55" spans="1:19" x14ac:dyDescent="0.2">
      <c r="A55" s="6"/>
      <c r="B55" s="12" t="s">
        <v>263</v>
      </c>
      <c r="C55" s="12" t="s">
        <v>264</v>
      </c>
      <c r="D55" s="85" t="s">
        <v>240</v>
      </c>
      <c r="E55" s="91" t="s">
        <v>241</v>
      </c>
      <c r="F55" s="2"/>
    </row>
    <row r="56" spans="1:19" x14ac:dyDescent="0.2">
      <c r="A56" s="11" t="s">
        <v>80</v>
      </c>
      <c r="B56" s="301">
        <v>3</v>
      </c>
      <c r="C56" s="113">
        <v>3</v>
      </c>
      <c r="D56" s="183">
        <v>29</v>
      </c>
      <c r="E56" s="343">
        <f>(D56*C56)/B56</f>
        <v>29</v>
      </c>
      <c r="F56" s="2"/>
      <c r="H56" s="126"/>
      <c r="I56" s="56"/>
      <c r="J56" s="56"/>
      <c r="K56" s="56"/>
      <c r="L56" s="56"/>
      <c r="M56" s="56"/>
      <c r="N56" s="56"/>
      <c r="O56" s="56"/>
      <c r="P56" s="56"/>
      <c r="Q56" s="56"/>
      <c r="R56" s="56"/>
      <c r="S56" s="56"/>
    </row>
    <row r="57" spans="1:19" x14ac:dyDescent="0.2">
      <c r="A57" s="31"/>
      <c r="B57" s="185"/>
      <c r="C57" s="184"/>
      <c r="D57" s="319" t="s">
        <v>241</v>
      </c>
      <c r="E57" s="156"/>
      <c r="F57" s="2"/>
      <c r="H57" s="126"/>
      <c r="I57" s="56"/>
      <c r="J57" s="56"/>
      <c r="K57" s="56"/>
      <c r="L57" s="56"/>
      <c r="M57" s="56"/>
      <c r="N57" s="56"/>
      <c r="O57" s="56"/>
      <c r="P57" s="56"/>
      <c r="Q57" s="56"/>
      <c r="R57" s="56"/>
      <c r="S57" s="56"/>
    </row>
    <row r="58" spans="1:19" x14ac:dyDescent="0.2">
      <c r="A58" s="252" t="s">
        <v>98</v>
      </c>
      <c r="B58" s="20"/>
      <c r="C58" s="182"/>
      <c r="D58" s="183">
        <v>34.5</v>
      </c>
      <c r="E58" s="343">
        <f>D58/B56</f>
        <v>11.5</v>
      </c>
      <c r="F58" s="2"/>
      <c r="H58" s="126"/>
      <c r="I58" s="56"/>
      <c r="J58" s="56"/>
      <c r="K58" s="56"/>
      <c r="L58" s="56"/>
      <c r="M58" s="56"/>
      <c r="N58" s="56"/>
      <c r="O58" s="56"/>
      <c r="P58" s="56"/>
      <c r="Q58" s="56"/>
      <c r="R58" s="56"/>
      <c r="S58" s="56"/>
    </row>
    <row r="59" spans="1:19" x14ac:dyDescent="0.2">
      <c r="A59" s="31"/>
      <c r="B59" s="133"/>
      <c r="C59" s="135"/>
      <c r="D59" s="3"/>
      <c r="E59" s="10"/>
      <c r="F59" s="2"/>
      <c r="H59" s="126"/>
      <c r="I59" s="56"/>
      <c r="J59" s="56"/>
      <c r="K59" s="56"/>
      <c r="L59" s="56"/>
      <c r="M59" s="56"/>
      <c r="N59" s="56"/>
      <c r="O59" s="56"/>
      <c r="P59" s="56"/>
      <c r="Q59" s="56"/>
      <c r="R59" s="56"/>
      <c r="S59" s="56"/>
    </row>
    <row r="60" spans="1:19" x14ac:dyDescent="0.2">
      <c r="A60" s="229" t="s">
        <v>198</v>
      </c>
      <c r="B60" s="230"/>
      <c r="C60" s="230"/>
      <c r="D60" s="230"/>
      <c r="E60" s="341">
        <f>SUM(E24:E59)</f>
        <v>415.6</v>
      </c>
      <c r="F60" s="2"/>
      <c r="G60" s="52"/>
      <c r="H60" s="52"/>
      <c r="I60" s="56"/>
      <c r="J60" s="56"/>
      <c r="K60" s="56"/>
      <c r="L60" s="56"/>
      <c r="M60" s="56"/>
      <c r="N60" s="56"/>
      <c r="O60" s="56"/>
      <c r="P60" s="56"/>
      <c r="Q60" s="56"/>
      <c r="R60" s="56"/>
      <c r="S60" s="56"/>
    </row>
    <row r="61" spans="1:19" x14ac:dyDescent="0.2">
      <c r="A61" s="166" t="s">
        <v>94</v>
      </c>
      <c r="B61" s="146"/>
      <c r="C61" s="146"/>
      <c r="D61" s="146"/>
      <c r="E61" s="146"/>
      <c r="F61" s="146"/>
      <c r="G61" s="52"/>
      <c r="H61" s="52"/>
      <c r="I61" s="56"/>
      <c r="J61" s="56"/>
      <c r="K61" s="56"/>
      <c r="L61" s="56"/>
      <c r="M61" s="56"/>
      <c r="N61" s="56"/>
      <c r="O61" s="56"/>
      <c r="P61" s="56"/>
      <c r="Q61" s="56"/>
      <c r="R61" s="56"/>
      <c r="S61" s="56"/>
    </row>
    <row r="62" spans="1:19" x14ac:dyDescent="0.2">
      <c r="A62" s="287"/>
      <c r="B62" s="3"/>
      <c r="C62" s="58"/>
      <c r="D62" s="58"/>
      <c r="E62" s="58"/>
      <c r="F62" s="58"/>
      <c r="G62" s="52"/>
      <c r="H62" s="52"/>
      <c r="I62" s="56"/>
      <c r="J62" s="56"/>
      <c r="K62" s="56"/>
      <c r="L62" s="56"/>
      <c r="M62" s="56"/>
      <c r="N62" s="56"/>
      <c r="O62" s="56"/>
      <c r="P62" s="56"/>
      <c r="Q62" s="56"/>
      <c r="R62" s="56"/>
      <c r="S62" s="56"/>
    </row>
    <row r="63" spans="1:19" x14ac:dyDescent="0.2">
      <c r="A63" s="26"/>
      <c r="B63" s="7"/>
      <c r="C63" s="317" t="s">
        <v>314</v>
      </c>
      <c r="D63" s="317" t="s">
        <v>315</v>
      </c>
      <c r="E63" s="91" t="s">
        <v>241</v>
      </c>
      <c r="F63" s="2"/>
      <c r="G63" s="52"/>
      <c r="H63" s="52"/>
      <c r="I63" s="56"/>
      <c r="J63" s="56"/>
      <c r="K63" s="56"/>
      <c r="L63" s="56"/>
      <c r="M63" s="56"/>
      <c r="N63" s="56"/>
      <c r="O63" s="56"/>
      <c r="P63" s="56"/>
      <c r="Q63" s="56"/>
      <c r="R63" s="56"/>
      <c r="S63" s="56"/>
    </row>
    <row r="64" spans="1:19" x14ac:dyDescent="0.2">
      <c r="A64" s="289" t="s">
        <v>345</v>
      </c>
      <c r="B64" s="63"/>
      <c r="C64" s="112">
        <v>25</v>
      </c>
      <c r="D64" s="254">
        <v>120</v>
      </c>
      <c r="E64" s="343">
        <f>((C64/50)*D64)</f>
        <v>60</v>
      </c>
      <c r="F64" s="2"/>
      <c r="G64" s="53"/>
      <c r="H64" s="127"/>
      <c r="I64" s="58"/>
      <c r="J64" s="58"/>
      <c r="K64" s="58"/>
      <c r="L64" s="56"/>
      <c r="M64" s="56"/>
      <c r="N64" s="56"/>
      <c r="O64" s="56"/>
      <c r="P64" s="56"/>
      <c r="Q64" s="56"/>
      <c r="R64" s="56"/>
      <c r="S64" s="56"/>
    </row>
    <row r="65" spans="1:23" x14ac:dyDescent="0.2">
      <c r="A65" s="289"/>
      <c r="B65" s="63"/>
      <c r="C65" s="112"/>
      <c r="D65" s="254"/>
      <c r="E65" s="343">
        <f>((C65/50)*D65)</f>
        <v>0</v>
      </c>
      <c r="F65" s="2"/>
      <c r="G65" s="53"/>
      <c r="H65" s="127"/>
      <c r="I65" s="58"/>
      <c r="J65" s="58"/>
      <c r="K65" s="58"/>
      <c r="L65" s="56"/>
      <c r="M65" s="56"/>
      <c r="N65" s="56"/>
      <c r="O65" s="56"/>
      <c r="P65" s="56"/>
      <c r="Q65" s="56"/>
      <c r="R65" s="56"/>
      <c r="S65" s="56"/>
    </row>
    <row r="66" spans="1:23" x14ac:dyDescent="0.2">
      <c r="A66" s="289"/>
      <c r="B66" s="63"/>
      <c r="C66" s="112"/>
      <c r="D66" s="254"/>
      <c r="E66" s="343">
        <f>((C66/50)*D66)</f>
        <v>0</v>
      </c>
      <c r="F66" s="2"/>
      <c r="G66" s="53"/>
      <c r="H66" s="127"/>
      <c r="I66" s="58"/>
      <c r="J66" s="58"/>
      <c r="K66" s="58"/>
      <c r="L66" s="56"/>
      <c r="M66" s="56"/>
      <c r="N66" s="56"/>
      <c r="O66" s="56"/>
      <c r="P66" s="56"/>
      <c r="Q66" s="56"/>
      <c r="R66" s="56"/>
      <c r="S66" s="56"/>
    </row>
    <row r="67" spans="1:23" x14ac:dyDescent="0.2">
      <c r="A67" s="101"/>
      <c r="B67" s="63"/>
      <c r="C67" s="112"/>
      <c r="D67" s="254"/>
      <c r="E67" s="343">
        <f>((C67/50)*D67)</f>
        <v>0</v>
      </c>
      <c r="F67" s="2"/>
      <c r="G67" s="53"/>
      <c r="H67" s="127"/>
      <c r="I67" s="58"/>
      <c r="J67" s="58"/>
      <c r="K67" s="58"/>
      <c r="L67" s="56"/>
      <c r="M67" s="56"/>
      <c r="N67" s="56"/>
      <c r="O67" s="56"/>
      <c r="P67" s="56"/>
      <c r="Q67" s="56"/>
      <c r="R67" s="56"/>
      <c r="S67" s="56"/>
    </row>
    <row r="68" spans="1:23" x14ac:dyDescent="0.2">
      <c r="A68" s="27"/>
      <c r="B68" s="9"/>
      <c r="C68" s="310" t="s">
        <v>299</v>
      </c>
      <c r="D68" s="317" t="s">
        <v>236</v>
      </c>
      <c r="E68" s="91" t="s">
        <v>241</v>
      </c>
      <c r="F68" s="2"/>
      <c r="G68" s="56"/>
      <c r="H68" s="56"/>
      <c r="I68" s="58"/>
      <c r="J68" s="58"/>
      <c r="K68" s="58"/>
      <c r="L68" s="56"/>
      <c r="M68" s="56"/>
      <c r="N68" s="56"/>
      <c r="O68" s="56"/>
      <c r="P68" s="56"/>
      <c r="Q68" s="56"/>
      <c r="R68" s="56"/>
      <c r="S68" s="56"/>
      <c r="T68" s="56"/>
      <c r="U68" s="56"/>
      <c r="V68" s="56"/>
      <c r="W68" s="56"/>
    </row>
    <row r="69" spans="1:23" x14ac:dyDescent="0.2">
      <c r="A69" s="76" t="s">
        <v>174</v>
      </c>
      <c r="B69" s="77"/>
      <c r="C69" s="123">
        <v>0</v>
      </c>
      <c r="D69" s="255"/>
      <c r="E69" s="346">
        <f>D69*C69</f>
        <v>0</v>
      </c>
      <c r="F69" s="2"/>
      <c r="G69" s="56"/>
      <c r="H69" s="56"/>
      <c r="I69" s="58"/>
      <c r="J69" s="58"/>
      <c r="K69" s="58"/>
      <c r="L69" s="56"/>
      <c r="M69" s="56"/>
      <c r="N69" s="56"/>
      <c r="O69" s="56"/>
      <c r="P69" s="56"/>
      <c r="Q69" s="56"/>
      <c r="R69" s="56"/>
      <c r="S69" s="56"/>
      <c r="T69" s="56"/>
      <c r="U69" s="56"/>
      <c r="V69" s="56"/>
      <c r="W69" s="56"/>
    </row>
    <row r="70" spans="1:23" x14ac:dyDescent="0.2">
      <c r="A70" s="76" t="s">
        <v>81</v>
      </c>
      <c r="B70" s="77"/>
      <c r="C70" s="112"/>
      <c r="D70" s="254"/>
      <c r="E70" s="565">
        <f>D70*C70</f>
        <v>0</v>
      </c>
      <c r="F70" s="2"/>
      <c r="G70" s="56"/>
      <c r="H70" s="56"/>
      <c r="I70" s="58"/>
      <c r="J70" s="58"/>
      <c r="K70" s="58"/>
      <c r="L70" s="56"/>
      <c r="M70" s="56"/>
      <c r="N70" s="56"/>
      <c r="O70" s="56"/>
      <c r="P70" s="56"/>
      <c r="Q70" s="56"/>
      <c r="R70" s="56"/>
      <c r="S70" s="56"/>
      <c r="T70" s="56"/>
      <c r="U70" s="56"/>
      <c r="V70" s="56"/>
      <c r="W70" s="56"/>
    </row>
    <row r="71" spans="1:23" x14ac:dyDescent="0.2">
      <c r="A71" s="76"/>
      <c r="B71" s="77"/>
      <c r="C71" s="320" t="s">
        <v>261</v>
      </c>
      <c r="D71" s="332" t="s">
        <v>262</v>
      </c>
      <c r="E71" s="322" t="s">
        <v>241</v>
      </c>
      <c r="F71" s="2"/>
      <c r="G71" s="56"/>
      <c r="H71" s="56"/>
      <c r="I71" s="58"/>
      <c r="J71" s="58"/>
      <c r="K71" s="58"/>
      <c r="L71" s="56"/>
      <c r="M71" s="56"/>
      <c r="N71" s="56"/>
      <c r="O71" s="56"/>
      <c r="P71" s="56"/>
      <c r="Q71" s="56"/>
      <c r="R71" s="56"/>
      <c r="S71" s="56"/>
      <c r="T71" s="56"/>
      <c r="U71" s="56"/>
      <c r="V71" s="56"/>
      <c r="W71" s="56"/>
    </row>
    <row r="72" spans="1:23" x14ac:dyDescent="0.2">
      <c r="A72" s="76" t="s">
        <v>81</v>
      </c>
      <c r="B72" s="77"/>
      <c r="C72" s="112"/>
      <c r="D72" s="254"/>
      <c r="E72" s="565">
        <f>D72*C72</f>
        <v>0</v>
      </c>
      <c r="F72" s="2"/>
      <c r="G72" s="56"/>
      <c r="H72" s="56"/>
      <c r="I72" s="58"/>
      <c r="J72" s="58"/>
      <c r="K72" s="58"/>
      <c r="L72" s="56"/>
      <c r="M72" s="56"/>
      <c r="N72" s="56"/>
      <c r="O72" s="56"/>
      <c r="P72" s="56"/>
      <c r="Q72" s="56"/>
      <c r="R72" s="56"/>
      <c r="S72" s="56"/>
      <c r="T72" s="56"/>
      <c r="U72" s="56"/>
      <c r="V72" s="56"/>
      <c r="W72" s="56"/>
    </row>
    <row r="73" spans="1:23" x14ac:dyDescent="0.2">
      <c r="A73" s="215" t="s">
        <v>197</v>
      </c>
      <c r="B73" s="222"/>
      <c r="C73" s="227"/>
      <c r="D73" s="228"/>
      <c r="E73" s="347">
        <f>E64+E69+E70+E72</f>
        <v>60</v>
      </c>
      <c r="F73" s="2"/>
      <c r="G73" s="56"/>
      <c r="H73" s="56"/>
      <c r="I73" s="58"/>
      <c r="J73" s="58"/>
      <c r="K73" s="58"/>
      <c r="L73" s="56"/>
      <c r="M73" s="56"/>
      <c r="N73" s="56"/>
      <c r="O73" s="56"/>
      <c r="P73" s="56"/>
      <c r="Q73" s="56"/>
      <c r="R73" s="56"/>
      <c r="S73" s="56"/>
      <c r="T73" s="56"/>
      <c r="U73" s="56"/>
      <c r="V73" s="56"/>
      <c r="W73" s="56"/>
    </row>
    <row r="74" spans="1:23" x14ac:dyDescent="0.2">
      <c r="A74" s="164" t="s">
        <v>92</v>
      </c>
      <c r="B74" s="160"/>
      <c r="C74" s="161"/>
      <c r="D74" s="162"/>
      <c r="E74" s="214"/>
      <c r="F74" s="146"/>
      <c r="G74" s="58"/>
      <c r="H74" s="58"/>
      <c r="I74" s="58"/>
      <c r="J74" s="58"/>
      <c r="K74" s="58"/>
      <c r="L74" s="56"/>
      <c r="M74" s="56"/>
      <c r="N74" s="56"/>
      <c r="O74" s="56"/>
      <c r="P74" s="56"/>
      <c r="Q74" s="56"/>
      <c r="R74" s="56"/>
      <c r="S74" s="56"/>
    </row>
    <row r="75" spans="1:23" x14ac:dyDescent="0.2">
      <c r="A75" s="165" t="s">
        <v>2</v>
      </c>
      <c r="B75" s="7"/>
      <c r="C75" s="233"/>
      <c r="D75" s="131"/>
      <c r="E75" s="330" t="s">
        <v>67</v>
      </c>
      <c r="F75" s="2"/>
      <c r="G75" s="50"/>
      <c r="H75" s="128"/>
      <c r="I75" s="58"/>
      <c r="J75" s="58"/>
      <c r="K75" s="58"/>
      <c r="L75" s="56"/>
      <c r="M75" s="56"/>
      <c r="N75" s="56"/>
      <c r="O75" s="56"/>
      <c r="P75" s="56"/>
      <c r="Q75" s="56"/>
      <c r="R75" s="56"/>
      <c r="S75" s="56"/>
    </row>
    <row r="76" spans="1:23" x14ac:dyDescent="0.2">
      <c r="A76" s="252" t="s">
        <v>126</v>
      </c>
      <c r="B76" s="7"/>
      <c r="C76" s="233"/>
      <c r="D76" s="131"/>
      <c r="E76" s="307">
        <v>0</v>
      </c>
      <c r="F76" s="2"/>
      <c r="G76" s="50"/>
      <c r="H76" s="128"/>
      <c r="I76" s="58"/>
      <c r="J76" s="58"/>
      <c r="K76" s="58"/>
      <c r="L76" s="56"/>
      <c r="M76" s="56"/>
      <c r="N76" s="56"/>
      <c r="O76" s="56"/>
      <c r="P76" s="56"/>
      <c r="Q76" s="56"/>
      <c r="R76" s="56"/>
      <c r="S76" s="56"/>
    </row>
    <row r="77" spans="1:23" x14ac:dyDescent="0.2">
      <c r="A77" s="251" t="s">
        <v>99</v>
      </c>
      <c r="B77" s="7"/>
      <c r="C77" s="233"/>
      <c r="D77" s="131"/>
      <c r="E77" s="140">
        <v>0</v>
      </c>
      <c r="F77" s="2"/>
      <c r="G77" s="50"/>
      <c r="H77" s="128"/>
      <c r="I77" s="58"/>
      <c r="J77" s="58"/>
      <c r="K77" s="58"/>
      <c r="L77" s="56"/>
      <c r="M77" s="56"/>
      <c r="N77" s="56"/>
      <c r="O77" s="56"/>
      <c r="P77" s="56"/>
      <c r="Q77" s="56"/>
      <c r="R77" s="56"/>
      <c r="S77" s="56"/>
    </row>
    <row r="78" spans="1:23" x14ac:dyDescent="0.2">
      <c r="A78" s="252" t="s">
        <v>127</v>
      </c>
      <c r="B78" s="7"/>
      <c r="C78" s="16"/>
      <c r="D78" s="234"/>
      <c r="E78" s="140">
        <v>0</v>
      </c>
      <c r="F78" s="2"/>
      <c r="G78" s="50"/>
      <c r="H78" s="128"/>
      <c r="I78" s="58"/>
      <c r="J78" s="58"/>
      <c r="K78" s="58"/>
      <c r="L78" s="56"/>
      <c r="M78" s="56"/>
      <c r="N78" s="56"/>
      <c r="O78" s="56"/>
      <c r="P78" s="56"/>
      <c r="Q78" s="56"/>
      <c r="R78" s="56"/>
      <c r="S78" s="56"/>
    </row>
    <row r="79" spans="1:23" x14ac:dyDescent="0.2">
      <c r="A79" s="251" t="s">
        <v>99</v>
      </c>
      <c r="B79" s="7"/>
      <c r="C79" s="16"/>
      <c r="D79" s="234"/>
      <c r="E79" s="140">
        <v>0</v>
      </c>
      <c r="F79" s="2"/>
      <c r="G79" s="50"/>
      <c r="H79" s="128"/>
      <c r="I79" s="58"/>
      <c r="J79" s="58"/>
      <c r="K79" s="58"/>
      <c r="L79" s="56"/>
      <c r="M79" s="56"/>
      <c r="N79" s="56"/>
      <c r="O79" s="56"/>
      <c r="P79" s="56"/>
      <c r="Q79" s="56"/>
      <c r="R79" s="56"/>
      <c r="S79" s="56"/>
    </row>
    <row r="80" spans="1:23" x14ac:dyDescent="0.2">
      <c r="A80" s="252" t="s">
        <v>128</v>
      </c>
      <c r="B80" s="7"/>
      <c r="C80" s="16"/>
      <c r="D80" s="234"/>
      <c r="E80" s="140">
        <v>0</v>
      </c>
      <c r="F80" s="2"/>
      <c r="G80" s="50"/>
      <c r="H80" s="128"/>
      <c r="I80" s="58"/>
      <c r="J80" s="58"/>
      <c r="K80" s="58"/>
      <c r="L80" s="56"/>
      <c r="M80" s="56"/>
      <c r="N80" s="56"/>
      <c r="O80" s="56"/>
      <c r="P80" s="56"/>
      <c r="Q80" s="56"/>
      <c r="R80" s="56"/>
      <c r="S80" s="56"/>
    </row>
    <row r="81" spans="1:19" x14ac:dyDescent="0.2">
      <c r="A81" s="251" t="s">
        <v>99</v>
      </c>
      <c r="B81" s="7"/>
      <c r="C81" s="16"/>
      <c r="D81" s="234"/>
      <c r="E81" s="140">
        <v>0</v>
      </c>
      <c r="F81" s="2"/>
      <c r="G81" s="50"/>
      <c r="H81" s="128"/>
      <c r="I81" s="58"/>
      <c r="J81" s="58"/>
      <c r="K81" s="58"/>
      <c r="L81" s="56"/>
      <c r="M81" s="56"/>
      <c r="N81" s="56"/>
      <c r="O81" s="56"/>
      <c r="P81" s="56"/>
      <c r="Q81" s="56"/>
      <c r="R81" s="56"/>
      <c r="S81" s="56"/>
    </row>
    <row r="82" spans="1:19" x14ac:dyDescent="0.2">
      <c r="A82" s="212" t="s">
        <v>129</v>
      </c>
      <c r="B82" s="5"/>
      <c r="C82" s="65"/>
      <c r="D82" s="235"/>
      <c r="E82" s="140">
        <v>0</v>
      </c>
      <c r="F82" s="2"/>
      <c r="G82" s="49"/>
      <c r="H82" s="49"/>
      <c r="I82" s="58"/>
      <c r="J82" s="58"/>
      <c r="K82" s="58"/>
      <c r="L82" s="56"/>
      <c r="M82" s="56"/>
      <c r="N82" s="56"/>
      <c r="O82" s="56"/>
      <c r="P82" s="56"/>
      <c r="Q82" s="56"/>
      <c r="R82" s="56"/>
      <c r="S82" s="56"/>
    </row>
    <row r="83" spans="1:19" x14ac:dyDescent="0.2">
      <c r="A83" s="212" t="s">
        <v>99</v>
      </c>
      <c r="B83" s="5"/>
      <c r="C83" s="65"/>
      <c r="D83" s="235"/>
      <c r="E83" s="140">
        <v>0</v>
      </c>
      <c r="F83" s="2"/>
      <c r="G83" s="62"/>
      <c r="H83" s="62"/>
      <c r="I83" s="56"/>
      <c r="J83" s="56"/>
      <c r="K83" s="56"/>
      <c r="L83" s="56"/>
      <c r="M83" s="56"/>
      <c r="N83" s="56"/>
      <c r="O83" s="56"/>
      <c r="P83" s="56"/>
      <c r="Q83" s="56"/>
      <c r="R83" s="56"/>
      <c r="S83" s="56"/>
    </row>
    <row r="84" spans="1:19" x14ac:dyDescent="0.2">
      <c r="A84" s="165" t="s">
        <v>8</v>
      </c>
      <c r="B84" s="7"/>
      <c r="C84" s="16"/>
      <c r="D84" s="5"/>
      <c r="E84" s="254">
        <v>0</v>
      </c>
      <c r="F84" s="2"/>
      <c r="G84" s="2"/>
      <c r="H84" s="2"/>
      <c r="I84" s="2"/>
      <c r="J84" s="2"/>
      <c r="K84" s="2"/>
    </row>
    <row r="85" spans="1:19" x14ac:dyDescent="0.2">
      <c r="A85" s="251" t="s">
        <v>130</v>
      </c>
      <c r="B85" s="7"/>
      <c r="C85" s="16"/>
      <c r="D85" s="5"/>
      <c r="E85" s="254">
        <v>0</v>
      </c>
      <c r="F85" s="2"/>
      <c r="G85" s="2"/>
      <c r="H85" s="2"/>
      <c r="I85" s="2"/>
      <c r="J85" s="2"/>
      <c r="K85" s="2"/>
    </row>
    <row r="86" spans="1:19" x14ac:dyDescent="0.2">
      <c r="A86" s="251" t="s">
        <v>99</v>
      </c>
      <c r="B86" s="7"/>
      <c r="C86" s="16"/>
      <c r="D86" s="5"/>
      <c r="E86" s="254">
        <v>0</v>
      </c>
      <c r="F86" s="2"/>
      <c r="G86" s="2"/>
      <c r="H86" s="2"/>
      <c r="I86" s="2"/>
      <c r="J86" s="2"/>
      <c r="K86" s="2"/>
    </row>
    <row r="87" spans="1:19" x14ac:dyDescent="0.2">
      <c r="A87" s="59" t="s">
        <v>131</v>
      </c>
      <c r="B87" s="5"/>
      <c r="C87" s="65"/>
      <c r="D87" s="235"/>
      <c r="E87" s="140">
        <v>0</v>
      </c>
      <c r="F87" s="2"/>
      <c r="H87" s="58"/>
      <c r="I87" s="58"/>
      <c r="J87" s="58"/>
      <c r="K87" s="58"/>
      <c r="L87" s="56"/>
      <c r="M87" s="56"/>
      <c r="N87" s="56"/>
      <c r="O87" s="56"/>
    </row>
    <row r="88" spans="1:19" x14ac:dyDescent="0.2">
      <c r="A88" s="59" t="s">
        <v>99</v>
      </c>
      <c r="B88" s="5"/>
      <c r="C88" s="65"/>
      <c r="D88" s="235"/>
      <c r="E88" s="140">
        <v>0</v>
      </c>
      <c r="F88" s="2"/>
      <c r="G88" s="2"/>
      <c r="H88" s="58"/>
      <c r="I88" s="58"/>
      <c r="J88" s="58"/>
      <c r="K88" s="58"/>
      <c r="L88" s="56"/>
      <c r="M88" s="56"/>
      <c r="N88" s="56"/>
      <c r="O88" s="56"/>
    </row>
    <row r="89" spans="1:19" x14ac:dyDescent="0.2">
      <c r="A89" s="59" t="s">
        <v>131</v>
      </c>
      <c r="B89" s="5"/>
      <c r="C89" s="65"/>
      <c r="D89" s="235"/>
      <c r="E89" s="140">
        <v>0</v>
      </c>
      <c r="F89" s="2"/>
      <c r="G89" s="2"/>
      <c r="H89" s="58"/>
      <c r="I89" s="58"/>
      <c r="J89" s="58"/>
      <c r="K89" s="58"/>
      <c r="L89" s="56"/>
      <c r="M89" s="56"/>
      <c r="N89" s="56"/>
      <c r="O89" s="56"/>
    </row>
    <row r="90" spans="1:19" x14ac:dyDescent="0.2">
      <c r="A90" s="59" t="s">
        <v>99</v>
      </c>
      <c r="B90" s="5"/>
      <c r="C90" s="65"/>
      <c r="D90" s="235"/>
      <c r="E90" s="140">
        <v>0</v>
      </c>
      <c r="F90" s="2"/>
      <c r="G90" s="2"/>
      <c r="H90" s="58"/>
      <c r="I90" s="58"/>
      <c r="J90" s="58"/>
      <c r="K90" s="58"/>
      <c r="L90" s="56"/>
      <c r="M90" s="56"/>
      <c r="N90" s="56"/>
      <c r="O90" s="56"/>
    </row>
    <row r="91" spans="1:19" x14ac:dyDescent="0.2">
      <c r="A91" s="165" t="s">
        <v>12</v>
      </c>
      <c r="B91" s="7"/>
      <c r="C91" s="16"/>
      <c r="D91" s="5"/>
      <c r="E91" s="254">
        <v>0</v>
      </c>
      <c r="F91" s="2"/>
      <c r="G91" s="2"/>
      <c r="H91" s="58"/>
      <c r="I91" s="58"/>
      <c r="J91" s="58"/>
      <c r="K91" s="58"/>
      <c r="L91" s="56"/>
      <c r="M91" s="56"/>
      <c r="N91" s="56"/>
      <c r="O91" s="56"/>
    </row>
    <row r="92" spans="1:19" ht="13.5" customHeight="1" x14ac:dyDescent="0.2">
      <c r="A92" s="59" t="s">
        <v>176</v>
      </c>
      <c r="B92" s="5"/>
      <c r="C92" s="65"/>
      <c r="D92" s="235"/>
      <c r="E92" s="140">
        <v>0</v>
      </c>
      <c r="F92" s="2"/>
      <c r="G92" s="2"/>
      <c r="H92" s="62"/>
      <c r="I92" s="58"/>
      <c r="J92" s="58"/>
      <c r="K92" s="58"/>
      <c r="L92" s="56"/>
      <c r="M92" s="56"/>
      <c r="N92" s="56"/>
      <c r="O92" s="56"/>
    </row>
    <row r="93" spans="1:19" x14ac:dyDescent="0.2">
      <c r="A93" s="59" t="s">
        <v>99</v>
      </c>
      <c r="B93" s="5"/>
      <c r="C93" s="65"/>
      <c r="D93" s="235"/>
      <c r="E93" s="140">
        <v>0</v>
      </c>
      <c r="F93" s="2"/>
      <c r="G93" s="2"/>
      <c r="H93" s="58"/>
      <c r="I93" s="58"/>
      <c r="J93" s="58"/>
      <c r="K93" s="58"/>
      <c r="L93" s="56"/>
      <c r="M93" s="56"/>
      <c r="N93" s="56"/>
      <c r="O93" s="56"/>
    </row>
    <row r="94" spans="1:19" x14ac:dyDescent="0.2">
      <c r="A94" s="59" t="s">
        <v>177</v>
      </c>
      <c r="B94" s="5"/>
      <c r="C94" s="65"/>
      <c r="D94" s="235"/>
      <c r="E94" s="140">
        <v>0</v>
      </c>
      <c r="F94" s="2"/>
      <c r="G94" s="2"/>
      <c r="H94" s="58"/>
      <c r="I94" s="58"/>
      <c r="J94" s="58"/>
      <c r="K94" s="58"/>
      <c r="L94" s="56"/>
      <c r="M94" s="56"/>
      <c r="N94" s="56"/>
      <c r="O94" s="56"/>
    </row>
    <row r="95" spans="1:19" x14ac:dyDescent="0.2">
      <c r="A95" s="59" t="s">
        <v>99</v>
      </c>
      <c r="B95" s="5"/>
      <c r="C95" s="65"/>
      <c r="D95" s="235"/>
      <c r="E95" s="140">
        <v>0</v>
      </c>
      <c r="F95" s="2"/>
      <c r="G95" s="2"/>
      <c r="H95" s="58"/>
      <c r="I95" s="58"/>
      <c r="J95" s="58"/>
      <c r="K95" s="58"/>
      <c r="L95" s="56"/>
      <c r="M95" s="56"/>
      <c r="N95" s="56"/>
      <c r="O95" s="56"/>
    </row>
    <row r="96" spans="1:19" x14ac:dyDescent="0.2">
      <c r="A96" s="59" t="s">
        <v>178</v>
      </c>
      <c r="B96" s="5"/>
      <c r="C96" s="65"/>
      <c r="D96" s="235"/>
      <c r="E96" s="140">
        <v>0</v>
      </c>
      <c r="F96" s="2"/>
      <c r="G96" s="2"/>
      <c r="H96" s="58"/>
      <c r="I96" s="58"/>
      <c r="J96" s="58"/>
      <c r="K96" s="58"/>
      <c r="L96" s="56"/>
      <c r="M96" s="56"/>
      <c r="N96" s="56"/>
      <c r="O96" s="56"/>
    </row>
    <row r="97" spans="1:23" x14ac:dyDescent="0.2">
      <c r="A97" s="59" t="s">
        <v>99</v>
      </c>
      <c r="B97" s="5"/>
      <c r="C97" s="65"/>
      <c r="D97" s="235"/>
      <c r="E97" s="140">
        <v>0</v>
      </c>
      <c r="F97" s="2"/>
      <c r="G97" s="2"/>
      <c r="H97" s="58"/>
      <c r="I97" s="58"/>
      <c r="J97" s="58"/>
      <c r="K97" s="58"/>
      <c r="L97" s="56"/>
      <c r="M97" s="56"/>
      <c r="N97" s="56"/>
      <c r="O97" s="56"/>
    </row>
    <row r="98" spans="1:23" x14ac:dyDescent="0.2">
      <c r="A98" s="212" t="s">
        <v>30</v>
      </c>
      <c r="B98" s="5"/>
      <c r="C98" s="65"/>
      <c r="D98" s="235"/>
      <c r="E98" s="140">
        <v>0</v>
      </c>
      <c r="F98" s="2"/>
      <c r="G98" s="2"/>
      <c r="H98" s="58"/>
      <c r="I98" s="58"/>
      <c r="J98" s="58"/>
      <c r="K98" s="58"/>
      <c r="L98" s="56"/>
      <c r="M98" s="56"/>
      <c r="N98" s="56"/>
      <c r="O98" s="56"/>
      <c r="P98" s="56"/>
    </row>
    <row r="99" spans="1:23" x14ac:dyDescent="0.2">
      <c r="A99" s="212" t="s">
        <v>31</v>
      </c>
      <c r="B99" s="5"/>
      <c r="C99" s="65"/>
      <c r="D99" s="235"/>
      <c r="E99" s="140">
        <v>0</v>
      </c>
      <c r="F99" s="2"/>
      <c r="G99" s="2"/>
      <c r="H99" s="58"/>
      <c r="I99" s="58"/>
      <c r="J99" s="58"/>
      <c r="K99" s="58"/>
      <c r="L99" s="56"/>
      <c r="M99" s="56"/>
      <c r="N99" s="56"/>
      <c r="O99" s="56"/>
      <c r="P99" s="56"/>
    </row>
    <row r="100" spans="1:23" x14ac:dyDescent="0.2">
      <c r="A100" s="225" t="s">
        <v>199</v>
      </c>
      <c r="B100" s="226"/>
      <c r="C100" s="217"/>
      <c r="D100" s="236"/>
      <c r="E100" s="348">
        <f>SUM(E76:E99)</f>
        <v>0</v>
      </c>
      <c r="F100" s="2"/>
      <c r="G100" s="2"/>
      <c r="H100" s="58"/>
      <c r="I100" s="58"/>
      <c r="J100" s="58"/>
      <c r="K100" s="58"/>
      <c r="L100" s="56"/>
      <c r="M100" s="56"/>
      <c r="N100" s="56"/>
      <c r="O100" s="56"/>
      <c r="P100" s="56"/>
    </row>
    <row r="101" spans="1:23" x14ac:dyDescent="0.2">
      <c r="A101" s="196" t="s">
        <v>10</v>
      </c>
      <c r="B101" s="192"/>
      <c r="C101" s="193"/>
      <c r="D101" s="163"/>
      <c r="E101" s="194"/>
      <c r="F101" s="146"/>
      <c r="G101" s="2"/>
      <c r="H101" s="2"/>
      <c r="I101" s="2"/>
      <c r="J101" s="2"/>
      <c r="K101" s="2"/>
    </row>
    <row r="102" spans="1:23" x14ac:dyDescent="0.2">
      <c r="A102" s="213"/>
      <c r="B102" s="5"/>
      <c r="C102" s="16"/>
      <c r="D102" s="17"/>
      <c r="E102" s="91" t="s">
        <v>241</v>
      </c>
      <c r="F102" s="58"/>
      <c r="G102" s="2"/>
      <c r="H102" s="2"/>
      <c r="I102" s="2"/>
      <c r="J102" s="2"/>
      <c r="K102" s="2"/>
    </row>
    <row r="103" spans="1:23" x14ac:dyDescent="0.2">
      <c r="A103" s="212" t="s">
        <v>118</v>
      </c>
      <c r="B103" s="5"/>
      <c r="C103" s="65"/>
      <c r="D103" s="66"/>
      <c r="E103" s="140">
        <v>0</v>
      </c>
      <c r="F103" s="2"/>
      <c r="G103" s="2"/>
      <c r="H103" s="2"/>
      <c r="I103" s="2"/>
      <c r="J103" s="2"/>
      <c r="K103" s="2"/>
    </row>
    <row r="104" spans="1:23" x14ac:dyDescent="0.2">
      <c r="A104" s="212"/>
      <c r="B104" s="5"/>
      <c r="C104" s="320" t="s">
        <v>116</v>
      </c>
      <c r="D104" s="321" t="s">
        <v>258</v>
      </c>
      <c r="E104" s="91" t="s">
        <v>241</v>
      </c>
      <c r="F104" s="2"/>
      <c r="G104" s="2"/>
      <c r="H104" s="2"/>
      <c r="I104" s="2"/>
      <c r="J104" s="2"/>
      <c r="K104" s="2"/>
    </row>
    <row r="105" spans="1:23" x14ac:dyDescent="0.2">
      <c r="A105" s="29" t="s">
        <v>115</v>
      </c>
      <c r="B105" s="9"/>
      <c r="C105" s="219">
        <v>0</v>
      </c>
      <c r="D105" s="220">
        <v>5.5</v>
      </c>
      <c r="E105" s="344">
        <f>+C105*D105</f>
        <v>0</v>
      </c>
      <c r="F105" s="2"/>
      <c r="G105" s="2"/>
      <c r="H105" s="2"/>
      <c r="I105" s="2"/>
      <c r="J105" s="2"/>
      <c r="K105" s="2"/>
    </row>
    <row r="106" spans="1:23" x14ac:dyDescent="0.2">
      <c r="A106" s="221" t="s">
        <v>117</v>
      </c>
      <c r="B106" s="222"/>
      <c r="C106" s="223"/>
      <c r="D106" s="224"/>
      <c r="E106" s="348">
        <f>E105+E103</f>
        <v>0</v>
      </c>
      <c r="F106" s="2"/>
      <c r="G106" s="2"/>
      <c r="H106" s="2"/>
      <c r="I106" s="2"/>
      <c r="J106" s="2"/>
      <c r="K106" s="2"/>
    </row>
    <row r="107" spans="1:23" ht="15" x14ac:dyDescent="0.25">
      <c r="A107" s="164" t="s">
        <v>93</v>
      </c>
      <c r="B107" s="157"/>
      <c r="C107" s="158"/>
      <c r="D107" s="159"/>
      <c r="E107" s="159"/>
      <c r="F107" s="146"/>
      <c r="G107" s="56"/>
      <c r="H107" s="190"/>
      <c r="I107" s="58"/>
      <c r="J107" s="58"/>
      <c r="K107" s="58"/>
      <c r="L107" s="56"/>
      <c r="M107" s="56"/>
      <c r="N107" s="56"/>
      <c r="O107" s="56"/>
      <c r="P107" s="56"/>
      <c r="Q107" s="56"/>
      <c r="R107" s="56"/>
      <c r="S107" s="56"/>
      <c r="T107" s="56"/>
      <c r="U107" s="56"/>
      <c r="V107" s="56"/>
      <c r="W107" s="56"/>
    </row>
    <row r="108" spans="1:23" ht="13.5" customHeight="1" x14ac:dyDescent="0.2">
      <c r="A108" s="26"/>
      <c r="B108" s="7"/>
      <c r="C108" s="8"/>
      <c r="D108" s="132"/>
      <c r="E108" s="91" t="s">
        <v>241</v>
      </c>
      <c r="F108" s="2"/>
      <c r="H108" s="56"/>
      <c r="I108" s="56"/>
      <c r="J108" s="56"/>
      <c r="K108" s="56"/>
      <c r="L108" s="56"/>
      <c r="M108" s="56"/>
      <c r="N108" s="56"/>
      <c r="O108" s="56"/>
      <c r="P108" s="56"/>
      <c r="Q108" s="56"/>
      <c r="R108" s="56"/>
      <c r="S108" s="56"/>
    </row>
    <row r="109" spans="1:23" ht="13.5" customHeight="1" x14ac:dyDescent="0.2">
      <c r="A109" s="252" t="s">
        <v>233</v>
      </c>
      <c r="B109" s="7"/>
      <c r="C109" s="8"/>
      <c r="D109" s="132"/>
      <c r="E109" s="258">
        <v>214</v>
      </c>
      <c r="F109" s="2"/>
      <c r="H109" s="56"/>
      <c r="I109" s="56"/>
      <c r="J109" s="56"/>
      <c r="K109" s="56"/>
      <c r="L109" s="56"/>
      <c r="M109" s="56"/>
      <c r="N109" s="56"/>
      <c r="O109" s="56"/>
      <c r="P109" s="56"/>
      <c r="Q109" s="56"/>
      <c r="R109" s="56"/>
      <c r="S109" s="56"/>
    </row>
    <row r="110" spans="1:23" x14ac:dyDescent="0.2">
      <c r="A110" s="252" t="s">
        <v>28</v>
      </c>
      <c r="B110" s="7"/>
      <c r="C110" s="65"/>
      <c r="D110" s="66"/>
      <c r="E110" s="140">
        <v>0</v>
      </c>
      <c r="F110" s="2"/>
      <c r="G110" s="2"/>
      <c r="H110" s="58"/>
      <c r="I110" s="58"/>
      <c r="J110" s="58"/>
      <c r="K110" s="58"/>
      <c r="L110" s="56"/>
      <c r="M110" s="56"/>
      <c r="N110" s="56"/>
      <c r="O110" s="56"/>
      <c r="P110" s="56"/>
      <c r="Q110" s="56"/>
      <c r="R110" s="56"/>
      <c r="S110" s="56"/>
    </row>
    <row r="111" spans="1:23" x14ac:dyDescent="0.2">
      <c r="A111" s="252" t="s">
        <v>102</v>
      </c>
      <c r="B111" s="7"/>
      <c r="C111" s="65"/>
      <c r="D111" s="66"/>
      <c r="E111" s="140">
        <v>0</v>
      </c>
      <c r="F111" s="2"/>
      <c r="G111" s="2"/>
      <c r="H111" s="58"/>
      <c r="I111" s="58"/>
      <c r="J111" s="58"/>
      <c r="K111" s="58"/>
      <c r="L111" s="56"/>
      <c r="M111" s="56"/>
      <c r="N111" s="56"/>
      <c r="O111" s="56"/>
      <c r="P111" s="56"/>
      <c r="Q111" s="56"/>
      <c r="R111" s="56"/>
      <c r="S111" s="56"/>
    </row>
    <row r="112" spans="1:23" ht="15" x14ac:dyDescent="0.25">
      <c r="A112" s="252" t="s">
        <v>91</v>
      </c>
      <c r="B112" s="63" t="s">
        <v>234</v>
      </c>
      <c r="C112" s="65"/>
      <c r="D112" s="66"/>
      <c r="E112" s="140">
        <v>0</v>
      </c>
      <c r="F112" s="2"/>
      <c r="G112" s="2"/>
      <c r="H112" s="189"/>
      <c r="I112" s="13"/>
      <c r="J112" s="13"/>
      <c r="K112" s="13"/>
      <c r="L112" s="42"/>
      <c r="M112" s="42"/>
      <c r="N112" s="42"/>
      <c r="O112" s="42"/>
      <c r="P112" s="42"/>
      <c r="Q112" s="42"/>
      <c r="R112" s="42"/>
      <c r="S112" s="42"/>
    </row>
    <row r="113" spans="1:19" ht="15" x14ac:dyDescent="0.25">
      <c r="A113" s="252" t="s">
        <v>101</v>
      </c>
      <c r="B113" s="63"/>
      <c r="C113" s="65"/>
      <c r="D113" s="66"/>
      <c r="E113" s="281">
        <v>1.45</v>
      </c>
      <c r="F113" s="2"/>
      <c r="G113" s="2"/>
      <c r="H113" s="189"/>
      <c r="I113" s="13"/>
      <c r="J113" s="13"/>
      <c r="K113" s="13"/>
      <c r="L113" s="42"/>
      <c r="M113" s="42"/>
      <c r="N113" s="42"/>
      <c r="O113" s="42"/>
      <c r="P113" s="42"/>
      <c r="Q113" s="42"/>
      <c r="R113" s="42"/>
      <c r="S113" s="42"/>
    </row>
    <row r="114" spans="1:19" x14ac:dyDescent="0.2">
      <c r="A114" s="215" t="s">
        <v>120</v>
      </c>
      <c r="B114" s="216"/>
      <c r="C114" s="217"/>
      <c r="D114" s="218"/>
      <c r="E114" s="348">
        <f>SUM(E109:E113)</f>
        <v>215.45</v>
      </c>
      <c r="F114" s="2"/>
      <c r="G114" s="2"/>
      <c r="H114" s="58"/>
      <c r="I114" s="58"/>
      <c r="J114" s="58"/>
      <c r="K114" s="58"/>
      <c r="L114" s="56"/>
      <c r="M114" s="56"/>
      <c r="N114" s="56"/>
      <c r="O114" s="56"/>
      <c r="P114" s="56"/>
      <c r="Q114" s="56"/>
      <c r="R114" s="56"/>
      <c r="S114" s="56"/>
    </row>
    <row r="115" spans="1:19" x14ac:dyDescent="0.2">
      <c r="A115" s="144"/>
      <c r="B115" s="157"/>
      <c r="C115" s="202"/>
      <c r="D115" s="203"/>
      <c r="E115" s="198"/>
      <c r="F115" s="146"/>
      <c r="G115" s="2"/>
      <c r="H115" s="2"/>
      <c r="I115" s="2"/>
      <c r="J115" s="2"/>
      <c r="K115" s="2"/>
    </row>
    <row r="116" spans="1:19" x14ac:dyDescent="0.2">
      <c r="A116" s="394" t="s">
        <v>203</v>
      </c>
      <c r="B116" s="395"/>
      <c r="C116" s="396"/>
      <c r="D116" s="397"/>
      <c r="E116" s="348">
        <f>E60+E73+E100+E106+E114</f>
        <v>691.05</v>
      </c>
      <c r="F116" s="2"/>
      <c r="G116" s="2"/>
      <c r="H116" s="2"/>
      <c r="I116" s="2"/>
      <c r="J116" s="2"/>
      <c r="K116" s="2"/>
    </row>
    <row r="117" spans="1:19" x14ac:dyDescent="0.2">
      <c r="A117" s="22"/>
      <c r="B117" s="5"/>
      <c r="C117" s="16"/>
      <c r="D117" s="17"/>
      <c r="E117" s="186"/>
      <c r="F117" s="2"/>
      <c r="G117" s="2"/>
      <c r="H117" s="2"/>
      <c r="I117" s="2"/>
      <c r="J117" s="2"/>
      <c r="K117" s="2"/>
    </row>
    <row r="118" spans="1:19" x14ac:dyDescent="0.2">
      <c r="A118" s="195" t="s">
        <v>100</v>
      </c>
      <c r="B118" s="146"/>
      <c r="C118" s="187"/>
      <c r="D118" s="157"/>
      <c r="E118" s="146"/>
      <c r="F118" s="146"/>
    </row>
    <row r="119" spans="1:19" x14ac:dyDescent="0.2">
      <c r="A119" s="18" t="s">
        <v>121</v>
      </c>
      <c r="B119" s="2"/>
      <c r="C119" s="311" t="s">
        <v>257</v>
      </c>
      <c r="D119" s="323" t="s">
        <v>256</v>
      </c>
      <c r="E119" s="91" t="s">
        <v>241</v>
      </c>
      <c r="F119" s="2"/>
      <c r="Q119" s="87"/>
    </row>
    <row r="120" spans="1:19" x14ac:dyDescent="0.2">
      <c r="A120" s="289" t="s">
        <v>82</v>
      </c>
      <c r="B120" s="7"/>
      <c r="C120" s="112">
        <v>1</v>
      </c>
      <c r="D120" s="139">
        <v>20</v>
      </c>
      <c r="E120" s="339">
        <f>C120*D120</f>
        <v>20</v>
      </c>
      <c r="F120" s="2"/>
    </row>
    <row r="121" spans="1:19" x14ac:dyDescent="0.2">
      <c r="A121" s="289" t="s">
        <v>9</v>
      </c>
      <c r="B121" s="7"/>
      <c r="C121" s="112">
        <v>1</v>
      </c>
      <c r="D121" s="140">
        <v>17.5</v>
      </c>
      <c r="E121" s="339">
        <f t="shared" ref="E121:E128" si="3">C121*D121</f>
        <v>17.5</v>
      </c>
      <c r="F121" s="2"/>
    </row>
    <row r="122" spans="1:19" x14ac:dyDescent="0.2">
      <c r="A122" s="289" t="s">
        <v>328</v>
      </c>
      <c r="B122" s="7"/>
      <c r="C122" s="112">
        <v>1</v>
      </c>
      <c r="D122" s="140">
        <v>20</v>
      </c>
      <c r="E122" s="339">
        <f t="shared" si="3"/>
        <v>20</v>
      </c>
      <c r="F122" s="2"/>
    </row>
    <row r="123" spans="1:19" x14ac:dyDescent="0.2">
      <c r="A123" s="289"/>
      <c r="B123" s="7"/>
      <c r="C123" s="112"/>
      <c r="D123" s="140">
        <v>0</v>
      </c>
      <c r="E123" s="339">
        <f t="shared" si="3"/>
        <v>0</v>
      </c>
      <c r="F123" s="2"/>
    </row>
    <row r="124" spans="1:19" x14ac:dyDescent="0.2">
      <c r="A124" s="289"/>
      <c r="B124" s="7"/>
      <c r="C124" s="112"/>
      <c r="D124" s="140">
        <v>0</v>
      </c>
      <c r="E124" s="339">
        <f t="shared" si="3"/>
        <v>0</v>
      </c>
      <c r="F124" s="2"/>
    </row>
    <row r="125" spans="1:19" ht="14.25" customHeight="1" x14ac:dyDescent="0.2">
      <c r="A125" s="303" t="s">
        <v>108</v>
      </c>
      <c r="B125" s="7"/>
      <c r="C125" s="112">
        <v>0</v>
      </c>
      <c r="D125" s="140">
        <v>18</v>
      </c>
      <c r="E125" s="339">
        <f t="shared" si="3"/>
        <v>0</v>
      </c>
      <c r="F125" s="2"/>
    </row>
    <row r="126" spans="1:19" ht="14.25" customHeight="1" x14ac:dyDescent="0.2">
      <c r="A126" s="303"/>
      <c r="B126" s="7"/>
      <c r="C126" s="112"/>
      <c r="D126" s="140">
        <v>0</v>
      </c>
      <c r="E126" s="339">
        <v>0</v>
      </c>
      <c r="F126" s="2"/>
    </row>
    <row r="127" spans="1:19" ht="14.25" customHeight="1" x14ac:dyDescent="0.2">
      <c r="A127" s="303"/>
      <c r="B127" s="7"/>
      <c r="C127" s="112"/>
      <c r="D127" s="140">
        <v>0</v>
      </c>
      <c r="E127" s="339">
        <v>0</v>
      </c>
      <c r="F127" s="2"/>
    </row>
    <row r="128" spans="1:19" ht="12" customHeight="1" x14ac:dyDescent="0.2">
      <c r="A128" s="303"/>
      <c r="B128" s="5"/>
      <c r="C128" s="112"/>
      <c r="D128" s="140">
        <v>0</v>
      </c>
      <c r="E128" s="339">
        <f t="shared" si="3"/>
        <v>0</v>
      </c>
      <c r="F128" s="2"/>
    </row>
    <row r="129" spans="1:19" ht="12.75" customHeight="1" x14ac:dyDescent="0.2">
      <c r="A129" s="289"/>
      <c r="B129" s="399"/>
      <c r="C129" s="112"/>
      <c r="D129" s="140">
        <v>0</v>
      </c>
      <c r="E129" s="343">
        <f>C129*D129</f>
        <v>0</v>
      </c>
      <c r="F129" s="2"/>
    </row>
    <row r="130" spans="1:19" ht="12" customHeight="1" x14ac:dyDescent="0.2">
      <c r="A130" s="394" t="s">
        <v>184</v>
      </c>
      <c r="B130" s="395"/>
      <c r="C130" s="396"/>
      <c r="D130" s="398"/>
      <c r="E130" s="348">
        <f>SUM(E120:E129)</f>
        <v>57.5</v>
      </c>
      <c r="F130" s="2"/>
      <c r="H130" s="563" t="s">
        <v>337</v>
      </c>
    </row>
    <row r="131" spans="1:19" ht="12" customHeight="1" x14ac:dyDescent="0.2">
      <c r="A131" s="15"/>
      <c r="B131" s="5"/>
      <c r="C131" s="16"/>
      <c r="D131" s="5"/>
      <c r="E131" s="186"/>
      <c r="F131" s="2"/>
      <c r="H131" s="564" t="s">
        <v>357</v>
      </c>
    </row>
    <row r="132" spans="1:19" ht="12.75" customHeight="1" x14ac:dyDescent="0.2">
      <c r="A132" s="22" t="s">
        <v>221</v>
      </c>
      <c r="B132" s="5"/>
      <c r="C132" s="310" t="s">
        <v>313</v>
      </c>
      <c r="D132" s="310" t="s">
        <v>256</v>
      </c>
      <c r="E132" s="91" t="s">
        <v>241</v>
      </c>
      <c r="F132" s="2"/>
    </row>
    <row r="133" spans="1:19" ht="12.75" customHeight="1" x14ac:dyDescent="0.2">
      <c r="A133" s="285" t="s">
        <v>348</v>
      </c>
      <c r="B133" s="5"/>
      <c r="C133" s="112">
        <v>4</v>
      </c>
      <c r="D133" s="141">
        <v>17</v>
      </c>
      <c r="E133" s="343">
        <f>C133*D133</f>
        <v>68</v>
      </c>
      <c r="F133" s="2"/>
      <c r="H133" s="563" t="s">
        <v>335</v>
      </c>
    </row>
    <row r="134" spans="1:19" ht="12.75" customHeight="1" x14ac:dyDescent="0.2">
      <c r="A134" s="289" t="s">
        <v>349</v>
      </c>
      <c r="B134" s="63"/>
      <c r="C134" s="112">
        <v>4</v>
      </c>
      <c r="D134" s="141">
        <v>14</v>
      </c>
      <c r="E134" s="343">
        <f t="shared" ref="E134:E140" si="4">C134*D134</f>
        <v>56</v>
      </c>
      <c r="F134" s="2"/>
      <c r="H134" s="564" t="s">
        <v>336</v>
      </c>
      <c r="S134" s="32"/>
    </row>
    <row r="135" spans="1:19" ht="12.75" customHeight="1" x14ac:dyDescent="0.2">
      <c r="A135" s="289" t="s">
        <v>350</v>
      </c>
      <c r="B135" s="7"/>
      <c r="C135" s="112">
        <v>4</v>
      </c>
      <c r="D135" s="141">
        <v>55</v>
      </c>
      <c r="E135" s="343">
        <f t="shared" si="4"/>
        <v>220</v>
      </c>
      <c r="F135" s="2"/>
      <c r="H135" s="57" t="s">
        <v>359</v>
      </c>
      <c r="S135" s="32"/>
    </row>
    <row r="136" spans="1:19" ht="12.75" customHeight="1" x14ac:dyDescent="0.2">
      <c r="A136" s="289"/>
      <c r="B136" s="63"/>
      <c r="C136" s="112"/>
      <c r="D136" s="141">
        <v>0</v>
      </c>
      <c r="E136" s="343">
        <f t="shared" si="4"/>
        <v>0</v>
      </c>
      <c r="F136" s="2"/>
      <c r="S136" s="32"/>
    </row>
    <row r="137" spans="1:19" ht="12.75" customHeight="1" x14ac:dyDescent="0.2">
      <c r="A137" s="289"/>
      <c r="B137" s="63"/>
      <c r="C137" s="112"/>
      <c r="D137" s="141">
        <v>0</v>
      </c>
      <c r="E137" s="343">
        <f t="shared" si="4"/>
        <v>0</v>
      </c>
      <c r="F137" s="2"/>
      <c r="H137" t="s">
        <v>360</v>
      </c>
      <c r="S137" s="32"/>
    </row>
    <row r="138" spans="1:19" ht="12.75" customHeight="1" x14ac:dyDescent="0.2">
      <c r="A138" s="289"/>
      <c r="B138" s="63"/>
      <c r="C138" s="112"/>
      <c r="D138" s="141">
        <v>0</v>
      </c>
      <c r="E138" s="343">
        <f t="shared" si="4"/>
        <v>0</v>
      </c>
      <c r="F138" s="2"/>
      <c r="H138" s="564" t="s">
        <v>361</v>
      </c>
      <c r="S138" s="32"/>
    </row>
    <row r="139" spans="1:19" ht="12.75" customHeight="1" x14ac:dyDescent="0.2">
      <c r="A139" s="289"/>
      <c r="B139" s="63"/>
      <c r="C139" s="112"/>
      <c r="D139" s="141">
        <v>0</v>
      </c>
      <c r="E139" s="343">
        <f t="shared" si="4"/>
        <v>0</v>
      </c>
      <c r="F139" s="2"/>
      <c r="S139" s="32"/>
    </row>
    <row r="140" spans="1:19" ht="12.75" customHeight="1" x14ac:dyDescent="0.2">
      <c r="A140" s="289"/>
      <c r="B140" s="402"/>
      <c r="C140" s="112"/>
      <c r="D140" s="140">
        <v>0</v>
      </c>
      <c r="E140" s="343">
        <f t="shared" si="4"/>
        <v>0</v>
      </c>
      <c r="F140" s="2"/>
      <c r="H140" s="563" t="s">
        <v>338</v>
      </c>
      <c r="S140" s="32"/>
    </row>
    <row r="141" spans="1:19" ht="12.75" customHeight="1" x14ac:dyDescent="0.2">
      <c r="A141" s="253" t="s">
        <v>222</v>
      </c>
      <c r="B141" s="404"/>
      <c r="C141" s="400"/>
      <c r="D141" s="405"/>
      <c r="E141" s="406">
        <f>SUM(E133:E140)</f>
        <v>344</v>
      </c>
      <c r="F141" s="2"/>
      <c r="H141" s="564" t="s">
        <v>339</v>
      </c>
      <c r="S141" s="32"/>
    </row>
    <row r="142" spans="1:19" ht="12.75" customHeight="1" x14ac:dyDescent="0.2">
      <c r="A142" s="185"/>
      <c r="B142" s="185"/>
      <c r="C142" s="65"/>
      <c r="D142" s="235"/>
      <c r="E142" s="145"/>
      <c r="F142" s="58"/>
      <c r="S142" s="32"/>
    </row>
    <row r="143" spans="1:19" ht="12.75" customHeight="1" x14ac:dyDescent="0.2">
      <c r="A143" s="288" t="s">
        <v>272</v>
      </c>
      <c r="B143" s="324" t="s">
        <v>312</v>
      </c>
      <c r="C143" s="320" t="s">
        <v>269</v>
      </c>
      <c r="D143" s="321" t="s">
        <v>268</v>
      </c>
      <c r="E143" s="91" t="s">
        <v>241</v>
      </c>
      <c r="F143" s="2"/>
      <c r="H143" s="563" t="s">
        <v>340</v>
      </c>
      <c r="S143" s="32"/>
    </row>
    <row r="144" spans="1:19" ht="12.75" customHeight="1" x14ac:dyDescent="0.2">
      <c r="A144" s="289" t="s">
        <v>356</v>
      </c>
      <c r="B144" s="297"/>
      <c r="C144" s="112"/>
      <c r="D144" s="140">
        <v>0</v>
      </c>
      <c r="E144" s="343">
        <f t="shared" ref="E144:E145" si="5">IFERROR((D144/C144)*B144,0)</f>
        <v>0</v>
      </c>
      <c r="F144" s="2"/>
      <c r="H144" s="564" t="s">
        <v>358</v>
      </c>
      <c r="S144" s="32"/>
    </row>
    <row r="145" spans="1:19" ht="12.75" customHeight="1" x14ac:dyDescent="0.2">
      <c r="A145" s="289"/>
      <c r="B145" s="297"/>
      <c r="C145" s="112"/>
      <c r="D145" s="141">
        <v>0</v>
      </c>
      <c r="E145" s="343">
        <f t="shared" si="5"/>
        <v>0</v>
      </c>
      <c r="F145" s="2"/>
      <c r="S145" s="32"/>
    </row>
    <row r="146" spans="1:19" ht="12.75" customHeight="1" x14ac:dyDescent="0.2">
      <c r="A146" s="289"/>
      <c r="B146" s="297"/>
      <c r="C146" s="112"/>
      <c r="D146" s="141">
        <v>0</v>
      </c>
      <c r="E146" s="343">
        <f>IFERROR((D146/C146)*B146,0)</f>
        <v>0</v>
      </c>
      <c r="F146" s="2"/>
      <c r="S146" s="32"/>
    </row>
    <row r="147" spans="1:19" ht="12.75" customHeight="1" x14ac:dyDescent="0.2">
      <c r="A147" s="289"/>
      <c r="B147" s="297"/>
      <c r="C147" s="112"/>
      <c r="D147" s="141">
        <v>0</v>
      </c>
      <c r="E147" s="343">
        <f t="shared" ref="E147:E151" si="6">IFERROR((D147/C147)*B147,0)</f>
        <v>0</v>
      </c>
      <c r="F147" s="2"/>
      <c r="S147" s="32"/>
    </row>
    <row r="148" spans="1:19" ht="12.75" customHeight="1" x14ac:dyDescent="0.2">
      <c r="A148" s="289"/>
      <c r="B148" s="297"/>
      <c r="C148" s="112"/>
      <c r="D148" s="141">
        <v>0</v>
      </c>
      <c r="E148" s="343">
        <f t="shared" si="6"/>
        <v>0</v>
      </c>
      <c r="F148" s="2"/>
      <c r="S148" s="32"/>
    </row>
    <row r="149" spans="1:19" ht="12.75" customHeight="1" x14ac:dyDescent="0.2">
      <c r="A149" s="289"/>
      <c r="B149" s="297"/>
      <c r="C149" s="112"/>
      <c r="D149" s="141">
        <v>0</v>
      </c>
      <c r="E149" s="343">
        <f t="shared" si="6"/>
        <v>0</v>
      </c>
      <c r="F149" s="2"/>
      <c r="S149" s="32"/>
    </row>
    <row r="150" spans="1:19" ht="12.75" customHeight="1" x14ac:dyDescent="0.2">
      <c r="A150" s="326"/>
      <c r="B150" s="297"/>
      <c r="C150" s="123"/>
      <c r="D150" s="259">
        <v>0</v>
      </c>
      <c r="E150" s="343">
        <f t="shared" si="6"/>
        <v>0</v>
      </c>
      <c r="F150" s="2"/>
      <c r="S150" s="32"/>
    </row>
    <row r="151" spans="1:19" ht="12.75" customHeight="1" x14ac:dyDescent="0.2">
      <c r="A151" s="289"/>
      <c r="B151" s="297"/>
      <c r="C151" s="112"/>
      <c r="D151" s="140">
        <v>0</v>
      </c>
      <c r="E151" s="343">
        <f t="shared" si="6"/>
        <v>0</v>
      </c>
      <c r="F151" s="2"/>
      <c r="S151" s="32"/>
    </row>
    <row r="152" spans="1:19" ht="12.75" customHeight="1" x14ac:dyDescent="0.2">
      <c r="A152" s="411" t="s">
        <v>223</v>
      </c>
      <c r="B152" s="415"/>
      <c r="C152" s="413"/>
      <c r="D152" s="414"/>
      <c r="E152" s="348">
        <f>SUM(E144:E151)</f>
        <v>0</v>
      </c>
      <c r="F152" s="2"/>
      <c r="S152" s="32"/>
    </row>
    <row r="153" spans="1:19" s="42" customFormat="1" ht="12.75" customHeight="1" x14ac:dyDescent="0.2">
      <c r="A153" s="185"/>
      <c r="B153" s="185"/>
      <c r="C153" s="65"/>
      <c r="D153" s="235"/>
      <c r="E153" s="145"/>
      <c r="F153" s="13"/>
      <c r="S153" s="283"/>
    </row>
    <row r="154" spans="1:19" s="56" customFormat="1" ht="12.75" customHeight="1" x14ac:dyDescent="0.2">
      <c r="A154" s="359" t="s">
        <v>310</v>
      </c>
      <c r="B154" s="199"/>
      <c r="C154" s="320" t="s">
        <v>311</v>
      </c>
      <c r="D154" s="332" t="s">
        <v>302</v>
      </c>
      <c r="E154" s="145"/>
      <c r="F154" s="58"/>
      <c r="S154" s="200"/>
    </row>
    <row r="155" spans="1:19" ht="12.75" customHeight="1" x14ac:dyDescent="0.2">
      <c r="A155" s="289"/>
      <c r="B155" s="63"/>
      <c r="C155" s="112"/>
      <c r="D155" s="140">
        <v>0</v>
      </c>
      <c r="E155" s="343">
        <f>C155*D155</f>
        <v>0</v>
      </c>
      <c r="F155" s="2"/>
      <c r="S155" s="32"/>
    </row>
    <row r="156" spans="1:19" ht="12.75" customHeight="1" x14ac:dyDescent="0.2">
      <c r="A156" s="289"/>
      <c r="B156" s="63"/>
      <c r="C156" s="112"/>
      <c r="D156" s="141">
        <v>0</v>
      </c>
      <c r="E156" s="343">
        <f t="shared" ref="E156:E161" si="7">C156*D156</f>
        <v>0</v>
      </c>
      <c r="F156" s="2"/>
      <c r="S156" s="32"/>
    </row>
    <row r="157" spans="1:19" ht="12.75" customHeight="1" x14ac:dyDescent="0.2">
      <c r="A157" s="289" t="s">
        <v>211</v>
      </c>
      <c r="B157" s="63"/>
      <c r="C157" s="112"/>
      <c r="D157" s="141">
        <v>0</v>
      </c>
      <c r="E157" s="343">
        <f t="shared" si="7"/>
        <v>0</v>
      </c>
      <c r="F157" s="2"/>
      <c r="S157" s="32"/>
    </row>
    <row r="158" spans="1:19" ht="12.75" customHeight="1" x14ac:dyDescent="0.2">
      <c r="A158" s="289"/>
      <c r="B158" s="63"/>
      <c r="C158" s="112"/>
      <c r="D158" s="141">
        <v>0</v>
      </c>
      <c r="E158" s="343">
        <f t="shared" si="7"/>
        <v>0</v>
      </c>
      <c r="F158" s="2"/>
      <c r="S158" s="32"/>
    </row>
    <row r="159" spans="1:19" ht="12.75" customHeight="1" x14ac:dyDescent="0.2">
      <c r="A159" s="289"/>
      <c r="B159" s="63"/>
      <c r="C159" s="112"/>
      <c r="D159" s="141">
        <v>0</v>
      </c>
      <c r="E159" s="343">
        <f t="shared" si="7"/>
        <v>0</v>
      </c>
      <c r="F159" s="2"/>
      <c r="S159" s="32"/>
    </row>
    <row r="160" spans="1:19" ht="12.75" customHeight="1" x14ac:dyDescent="0.2">
      <c r="A160" s="289"/>
      <c r="B160" s="63"/>
      <c r="C160" s="112"/>
      <c r="D160" s="141">
        <v>0</v>
      </c>
      <c r="E160" s="343">
        <f t="shared" si="7"/>
        <v>0</v>
      </c>
      <c r="F160" s="2"/>
      <c r="S160" s="32"/>
    </row>
    <row r="161" spans="1:19" ht="12.75" customHeight="1" x14ac:dyDescent="0.2">
      <c r="A161" s="289"/>
      <c r="B161" s="402"/>
      <c r="C161" s="112"/>
      <c r="D161" s="140">
        <v>0</v>
      </c>
      <c r="E161" s="343">
        <f t="shared" si="7"/>
        <v>0</v>
      </c>
      <c r="F161" s="2"/>
      <c r="S161" s="32"/>
    </row>
    <row r="162" spans="1:19" ht="12.75" customHeight="1" x14ac:dyDescent="0.2">
      <c r="A162" s="410" t="s">
        <v>224</v>
      </c>
      <c r="B162" s="404"/>
      <c r="C162" s="400"/>
      <c r="D162" s="405"/>
      <c r="E162" s="348">
        <f>SUM(E155:E161)</f>
        <v>0</v>
      </c>
      <c r="F162" s="2"/>
      <c r="S162" s="32"/>
    </row>
    <row r="163" spans="1:19" s="42" customFormat="1" ht="12.75" customHeight="1" x14ac:dyDescent="0.2">
      <c r="A163" s="185"/>
      <c r="B163" s="185"/>
      <c r="C163" s="65"/>
      <c r="D163" s="235"/>
      <c r="E163" s="145"/>
      <c r="F163" s="13"/>
      <c r="S163" s="283"/>
    </row>
    <row r="164" spans="1:19" s="56" customFormat="1" ht="12.75" customHeight="1" x14ac:dyDescent="0.2">
      <c r="A164" s="359" t="s">
        <v>274</v>
      </c>
      <c r="B164" s="185"/>
      <c r="C164" s="320" t="s">
        <v>309</v>
      </c>
      <c r="D164" s="321" t="s">
        <v>240</v>
      </c>
      <c r="E164" s="145"/>
      <c r="F164" s="58"/>
      <c r="S164" s="200"/>
    </row>
    <row r="165" spans="1:19" ht="12.75" customHeight="1" x14ac:dyDescent="0.2">
      <c r="A165" s="289"/>
      <c r="B165" s="63"/>
      <c r="C165" s="112"/>
      <c r="D165" s="140">
        <v>0</v>
      </c>
      <c r="E165" s="343">
        <f>C165*D165</f>
        <v>0</v>
      </c>
      <c r="F165" s="2"/>
      <c r="S165" s="32"/>
    </row>
    <row r="166" spans="1:19" ht="12.75" customHeight="1" x14ac:dyDescent="0.2">
      <c r="A166" s="289"/>
      <c r="B166" s="63"/>
      <c r="C166" s="112"/>
      <c r="D166" s="140">
        <v>0</v>
      </c>
      <c r="E166" s="343">
        <f t="shared" ref="E166:E171" si="8">C166*D166</f>
        <v>0</v>
      </c>
      <c r="F166" s="2"/>
      <c r="S166" s="32"/>
    </row>
    <row r="167" spans="1:19" ht="12.75" customHeight="1" x14ac:dyDescent="0.2">
      <c r="A167" s="289"/>
      <c r="B167" s="63"/>
      <c r="C167" s="112"/>
      <c r="D167" s="140">
        <v>0</v>
      </c>
      <c r="E167" s="343">
        <f t="shared" si="8"/>
        <v>0</v>
      </c>
      <c r="F167" s="2"/>
      <c r="S167" s="32"/>
    </row>
    <row r="168" spans="1:19" ht="12.75" customHeight="1" x14ac:dyDescent="0.2">
      <c r="A168" s="289"/>
      <c r="B168" s="63"/>
      <c r="C168" s="112"/>
      <c r="D168" s="140">
        <v>0</v>
      </c>
      <c r="E168" s="343">
        <f t="shared" si="8"/>
        <v>0</v>
      </c>
      <c r="F168" s="2"/>
      <c r="S168" s="32"/>
    </row>
    <row r="169" spans="1:19" ht="12.75" customHeight="1" x14ac:dyDescent="0.2">
      <c r="A169" s="289"/>
      <c r="B169" s="63"/>
      <c r="C169" s="112"/>
      <c r="D169" s="140">
        <v>0</v>
      </c>
      <c r="E169" s="343">
        <f t="shared" si="8"/>
        <v>0</v>
      </c>
      <c r="F169" s="2"/>
      <c r="S169" s="32"/>
    </row>
    <row r="170" spans="1:19" ht="12.75" customHeight="1" x14ac:dyDescent="0.2">
      <c r="A170" s="326"/>
      <c r="B170" s="63"/>
      <c r="C170" s="112"/>
      <c r="D170" s="281">
        <v>0</v>
      </c>
      <c r="E170" s="344">
        <f t="shared" si="8"/>
        <v>0</v>
      </c>
      <c r="F170" s="2"/>
      <c r="S170" s="32"/>
    </row>
    <row r="171" spans="1:19" ht="12.75" customHeight="1" x14ac:dyDescent="0.2">
      <c r="A171" s="289"/>
      <c r="B171" s="402"/>
      <c r="C171" s="112"/>
      <c r="D171" s="140">
        <v>0</v>
      </c>
      <c r="E171" s="343">
        <f t="shared" si="8"/>
        <v>0</v>
      </c>
      <c r="F171" s="2"/>
      <c r="S171" s="32"/>
    </row>
    <row r="172" spans="1:19" ht="12.75" customHeight="1" x14ac:dyDescent="0.2">
      <c r="A172" s="411" t="s">
        <v>225</v>
      </c>
      <c r="B172" s="412"/>
      <c r="C172" s="413"/>
      <c r="D172" s="414"/>
      <c r="E172" s="348">
        <f>SUM(E165:E171)</f>
        <v>0</v>
      </c>
      <c r="F172" s="2"/>
      <c r="S172" s="32"/>
    </row>
    <row r="173" spans="1:19" s="56" customFormat="1" ht="12.75" customHeight="1" x14ac:dyDescent="0.2">
      <c r="A173" s="185"/>
      <c r="B173" s="185"/>
      <c r="C173" s="65"/>
      <c r="D173" s="235"/>
      <c r="E173" s="145"/>
      <c r="F173" s="13"/>
      <c r="S173" s="200"/>
    </row>
    <row r="174" spans="1:19" ht="12.75" customHeight="1" x14ac:dyDescent="0.2">
      <c r="A174" s="288" t="s">
        <v>34</v>
      </c>
      <c r="B174" s="324" t="s">
        <v>276</v>
      </c>
      <c r="C174" s="320" t="s">
        <v>124</v>
      </c>
      <c r="D174" s="333" t="s">
        <v>254</v>
      </c>
      <c r="E174" s="91" t="s">
        <v>241</v>
      </c>
      <c r="F174" s="58"/>
      <c r="S174" s="32"/>
    </row>
    <row r="175" spans="1:19" ht="12.75" customHeight="1" x14ac:dyDescent="0.2">
      <c r="A175" s="289" t="s">
        <v>134</v>
      </c>
      <c r="B175" s="297">
        <v>15</v>
      </c>
      <c r="C175" s="112">
        <v>0</v>
      </c>
      <c r="D175" s="115">
        <v>4</v>
      </c>
      <c r="E175" s="343">
        <f>((C175*D175)*((C14+C15)/B175))</f>
        <v>0</v>
      </c>
      <c r="F175" s="2"/>
      <c r="S175" s="32"/>
    </row>
    <row r="176" spans="1:19" ht="12.75" customHeight="1" x14ac:dyDescent="0.2">
      <c r="A176" s="326"/>
      <c r="B176" s="297">
        <v>10</v>
      </c>
      <c r="C176" s="123"/>
      <c r="D176" s="259"/>
      <c r="E176" s="344">
        <f>((C176*D176)*(C16/B176))</f>
        <v>0</v>
      </c>
      <c r="F176" s="2"/>
      <c r="S176" s="32"/>
    </row>
    <row r="177" spans="1:19" ht="12.75" customHeight="1" x14ac:dyDescent="0.2">
      <c r="A177" s="239" t="s">
        <v>123</v>
      </c>
      <c r="B177" s="237"/>
      <c r="C177" s="217"/>
      <c r="D177" s="218"/>
      <c r="E177" s="348">
        <f>E141+E152+E162+E172+E175+E176</f>
        <v>344</v>
      </c>
      <c r="F177" s="2"/>
      <c r="S177" s="32"/>
    </row>
    <row r="178" spans="1:19" ht="12.75" customHeight="1" x14ac:dyDescent="0.2">
      <c r="A178" s="164" t="s">
        <v>32</v>
      </c>
      <c r="B178" s="209"/>
      <c r="C178" s="161"/>
      <c r="D178" s="162"/>
      <c r="E178" s="163"/>
      <c r="F178" s="210"/>
      <c r="S178" s="32"/>
    </row>
    <row r="179" spans="1:19" ht="12.75" customHeight="1" x14ac:dyDescent="0.2">
      <c r="A179" s="185"/>
      <c r="B179" s="334" t="s">
        <v>180</v>
      </c>
      <c r="C179" s="334" t="s">
        <v>277</v>
      </c>
      <c r="D179" s="335" t="s">
        <v>278</v>
      </c>
      <c r="E179" s="91" t="s">
        <v>241</v>
      </c>
      <c r="F179" s="13"/>
      <c r="S179" s="32"/>
    </row>
    <row r="180" spans="1:19" ht="12.75" customHeight="1" x14ac:dyDescent="0.2">
      <c r="A180" s="289" t="s">
        <v>213</v>
      </c>
      <c r="B180" s="309">
        <v>1</v>
      </c>
      <c r="C180" s="257">
        <v>260</v>
      </c>
      <c r="D180" s="258">
        <v>1000</v>
      </c>
      <c r="E180" s="376">
        <f>IFERROR(((D180/C180)*($C$14+$C$15))*B180,0)</f>
        <v>46.153846153846153</v>
      </c>
      <c r="F180" s="13"/>
      <c r="S180" s="32"/>
    </row>
    <row r="181" spans="1:19" ht="12.75" customHeight="1" x14ac:dyDescent="0.25">
      <c r="A181" s="289" t="s">
        <v>212</v>
      </c>
      <c r="B181" s="309">
        <v>0</v>
      </c>
      <c r="C181" s="112">
        <v>400</v>
      </c>
      <c r="D181" s="140">
        <v>0</v>
      </c>
      <c r="E181" s="343">
        <f t="shared" ref="E181:E182" si="9">IFERROR(((D181/C181)*($C$14+$C$15))*B181,0)</f>
        <v>0</v>
      </c>
      <c r="F181" s="13"/>
      <c r="H181" s="273" t="s">
        <v>144</v>
      </c>
      <c r="I181" s="262"/>
      <c r="J181" s="262"/>
      <c r="K181" s="262"/>
      <c r="L181" s="263"/>
      <c r="M181" s="264"/>
      <c r="S181" s="32"/>
    </row>
    <row r="182" spans="1:19" ht="12.75" customHeight="1" x14ac:dyDescent="0.25">
      <c r="A182" s="289" t="s">
        <v>182</v>
      </c>
      <c r="B182" s="309"/>
      <c r="C182" s="112"/>
      <c r="D182" s="140"/>
      <c r="E182" s="343">
        <f t="shared" si="9"/>
        <v>0</v>
      </c>
      <c r="F182" s="13"/>
      <c r="H182" s="265" t="s">
        <v>145</v>
      </c>
      <c r="I182" s="266"/>
      <c r="J182" s="266"/>
      <c r="K182" s="267" t="s">
        <v>154</v>
      </c>
      <c r="L182" s="263"/>
      <c r="M182" s="264"/>
      <c r="S182" s="32"/>
    </row>
    <row r="183" spans="1:19" ht="12.75" customHeight="1" x14ac:dyDescent="0.25">
      <c r="A183" s="279"/>
      <c r="B183" s="185" t="s">
        <v>181</v>
      </c>
      <c r="C183" s="201" t="s">
        <v>280</v>
      </c>
      <c r="D183" s="409" t="s">
        <v>279</v>
      </c>
      <c r="E183" s="156"/>
      <c r="F183" s="13"/>
      <c r="H183" s="268" t="s">
        <v>146</v>
      </c>
      <c r="I183" s="266"/>
      <c r="J183" s="266"/>
      <c r="K183" s="266" t="s">
        <v>147</v>
      </c>
      <c r="L183" s="266"/>
      <c r="M183" s="269"/>
      <c r="S183" s="32"/>
    </row>
    <row r="184" spans="1:19" ht="12.75" customHeight="1" x14ac:dyDescent="0.25">
      <c r="A184" s="289" t="s">
        <v>179</v>
      </c>
      <c r="B184" s="297"/>
      <c r="C184" s="112"/>
      <c r="D184" s="140"/>
      <c r="E184" s="343">
        <f>IFERROR(((D184/C184)*($C$14+$C$15))*B184,0)</f>
        <v>0</v>
      </c>
      <c r="F184" s="13"/>
      <c r="H184" s="268" t="s">
        <v>148</v>
      </c>
      <c r="I184" s="266"/>
      <c r="J184" s="266"/>
      <c r="K184" s="266" t="s">
        <v>149</v>
      </c>
      <c r="L184" s="266"/>
      <c r="M184" s="269"/>
      <c r="S184" s="32"/>
    </row>
    <row r="185" spans="1:19" ht="12.75" customHeight="1" x14ac:dyDescent="0.25">
      <c r="A185" s="185"/>
      <c r="B185" s="185"/>
      <c r="C185" s="69"/>
      <c r="D185" s="321" t="s">
        <v>155</v>
      </c>
      <c r="E185" s="91" t="s">
        <v>241</v>
      </c>
      <c r="F185" s="13"/>
      <c r="H185" s="268" t="s">
        <v>150</v>
      </c>
      <c r="I185" s="266"/>
      <c r="J185" s="266"/>
      <c r="K185" s="266" t="s">
        <v>151</v>
      </c>
      <c r="L185" s="266"/>
      <c r="M185" s="269"/>
      <c r="S185" s="32"/>
    </row>
    <row r="186" spans="1:19" ht="12.75" customHeight="1" x14ac:dyDescent="0.25">
      <c r="A186" s="185" t="s">
        <v>214</v>
      </c>
      <c r="B186" s="274"/>
      <c r="C186" s="65"/>
      <c r="D186" s="276">
        <v>0.1</v>
      </c>
      <c r="E186" s="349">
        <f>(E18)*D186</f>
        <v>120</v>
      </c>
      <c r="F186" s="13"/>
      <c r="H186" s="270" t="s">
        <v>152</v>
      </c>
      <c r="I186" s="271"/>
      <c r="J186" s="271"/>
      <c r="K186" s="271" t="s">
        <v>153</v>
      </c>
      <c r="L186" s="271"/>
      <c r="M186" s="272"/>
      <c r="S186" s="32"/>
    </row>
    <row r="187" spans="1:19" s="56" customFormat="1" ht="12.75" customHeight="1" x14ac:dyDescent="0.2">
      <c r="A187" s="205" t="s">
        <v>104</v>
      </c>
      <c r="B187" s="160"/>
      <c r="C187" s="206"/>
      <c r="D187" s="207"/>
      <c r="E187" s="208"/>
      <c r="F187" s="146"/>
      <c r="S187" s="200"/>
    </row>
    <row r="188" spans="1:19" ht="12.75" customHeight="1" x14ac:dyDescent="0.2">
      <c r="A188" s="185"/>
      <c r="B188" s="185"/>
      <c r="C188" s="320" t="s">
        <v>125</v>
      </c>
      <c r="D188" s="321" t="s">
        <v>105</v>
      </c>
      <c r="E188" s="85" t="s">
        <v>241</v>
      </c>
      <c r="F188" s="2"/>
      <c r="G188" s="29"/>
      <c r="S188" s="32"/>
    </row>
    <row r="189" spans="1:19" ht="12.75" customHeight="1" x14ac:dyDescent="0.2">
      <c r="A189" s="365" t="s">
        <v>45</v>
      </c>
      <c r="B189" s="366"/>
      <c r="C189" s="240">
        <v>1.5</v>
      </c>
      <c r="D189" s="140">
        <v>15</v>
      </c>
      <c r="E189" s="343">
        <f>C189*D189</f>
        <v>22.5</v>
      </c>
      <c r="F189" s="2"/>
      <c r="S189" s="32"/>
    </row>
    <row r="190" spans="1:19" ht="12.75" customHeight="1" x14ac:dyDescent="0.2">
      <c r="A190" s="185"/>
      <c r="B190" s="185"/>
      <c r="C190" s="65"/>
      <c r="D190" s="66"/>
      <c r="E190" s="17"/>
      <c r="F190" s="2"/>
      <c r="S190" s="32"/>
    </row>
    <row r="191" spans="1:19" ht="12.75" customHeight="1" x14ac:dyDescent="0.2">
      <c r="A191" s="209"/>
      <c r="B191" s="167"/>
      <c r="C191" s="161"/>
      <c r="D191" s="162"/>
      <c r="E191" s="211"/>
      <c r="F191" s="146"/>
    </row>
    <row r="192" spans="1:19" ht="12.75" customHeight="1" x14ac:dyDescent="0.2">
      <c r="A192" s="52" t="s">
        <v>113</v>
      </c>
      <c r="B192" s="2"/>
      <c r="C192" s="327">
        <v>5.1999999999999998E-2</v>
      </c>
      <c r="D192" s="2"/>
      <c r="E192" s="339">
        <f>(C192*0.67)*(E116+(0.2*E130))</f>
        <v>24.476842000000001</v>
      </c>
      <c r="F192" s="2"/>
      <c r="G192" s="136" t="s">
        <v>59</v>
      </c>
      <c r="H192" s="137"/>
      <c r="I192" s="137"/>
      <c r="J192" s="137"/>
      <c r="K192" s="137"/>
      <c r="L192" s="138"/>
    </row>
    <row r="193" spans="1:13" ht="12.75" customHeight="1" x14ac:dyDescent="0.2">
      <c r="A193" s="23"/>
      <c r="B193" s="2"/>
      <c r="C193" s="2"/>
      <c r="D193" s="2"/>
      <c r="E193" s="30"/>
      <c r="F193" s="2"/>
      <c r="G193" s="20"/>
      <c r="H193" s="20"/>
      <c r="I193" s="70"/>
      <c r="J193" s="70"/>
      <c r="K193" s="20"/>
      <c r="L193" s="70"/>
      <c r="M193" s="71"/>
    </row>
    <row r="194" spans="1:13" ht="12.75" customHeight="1" x14ac:dyDescent="0.2">
      <c r="A194" s="52" t="s">
        <v>85</v>
      </c>
      <c r="B194" s="68"/>
      <c r="C194" s="69"/>
      <c r="D194" s="66"/>
      <c r="E194" s="341">
        <f>E18*0.05</f>
        <v>60</v>
      </c>
      <c r="F194" s="58"/>
    </row>
    <row r="195" spans="1:13" ht="12.75" customHeight="1" x14ac:dyDescent="0.2">
      <c r="A195" s="67" t="s">
        <v>232</v>
      </c>
      <c r="B195" s="2"/>
      <c r="C195" s="24"/>
      <c r="E195" s="341">
        <f>E116+E130+E177+E180+E181+E182+E184+E189+E192</f>
        <v>1185.6806881538462</v>
      </c>
      <c r="F195" s="2"/>
    </row>
    <row r="196" spans="1:13" ht="12.75" customHeight="1" x14ac:dyDescent="0.2">
      <c r="A196" s="67" t="s">
        <v>231</v>
      </c>
      <c r="B196" s="2"/>
      <c r="C196" s="2"/>
      <c r="D196" s="24"/>
      <c r="E196" s="341">
        <f>E18-E195</f>
        <v>14.319311846153823</v>
      </c>
      <c r="F196" s="2"/>
    </row>
    <row r="197" spans="1:13" ht="14.25" x14ac:dyDescent="0.2">
      <c r="A197" s="33"/>
      <c r="B197" s="2"/>
      <c r="C197" s="85"/>
      <c r="D197" s="85"/>
      <c r="E197" s="86"/>
    </row>
    <row r="198" spans="1:13" x14ac:dyDescent="0.2">
      <c r="A198" s="252" t="s">
        <v>219</v>
      </c>
      <c r="B198" s="7"/>
      <c r="C198" s="65"/>
      <c r="D198" s="84"/>
      <c r="E198" s="350">
        <f>E195/(C14+C15)</f>
        <v>98.80672401282051</v>
      </c>
    </row>
    <row r="199" spans="1:13" x14ac:dyDescent="0.2">
      <c r="A199" s="329" t="s">
        <v>220</v>
      </c>
      <c r="B199" s="7"/>
      <c r="C199" s="2"/>
      <c r="D199" s="2"/>
      <c r="E199" s="341">
        <f>E195/(C16+C17)</f>
        <v>247.01681003205124</v>
      </c>
    </row>
    <row r="200" spans="1:13" x14ac:dyDescent="0.2">
      <c r="A200" s="6"/>
      <c r="B200" s="7"/>
      <c r="C200" s="2"/>
      <c r="D200" s="2"/>
      <c r="E200" s="2"/>
    </row>
    <row r="201" spans="1:13" x14ac:dyDescent="0.2">
      <c r="C201" s="595" t="s">
        <v>26</v>
      </c>
      <c r="D201" s="596"/>
      <c r="E201" s="596"/>
      <c r="F201" s="596"/>
      <c r="G201" s="597"/>
    </row>
    <row r="202" spans="1:13" x14ac:dyDescent="0.2">
      <c r="C202" s="572"/>
      <c r="D202" s="573"/>
      <c r="E202" s="573"/>
      <c r="F202" s="573"/>
      <c r="G202" s="574"/>
    </row>
    <row r="203" spans="1:13" x14ac:dyDescent="0.2">
      <c r="C203" s="600" t="s">
        <v>18</v>
      </c>
      <c r="D203" s="601"/>
      <c r="E203" s="601"/>
      <c r="F203" s="601"/>
      <c r="G203" s="602"/>
    </row>
    <row r="204" spans="1:13" x14ac:dyDescent="0.2">
      <c r="A204" s="598" t="s">
        <v>24</v>
      </c>
      <c r="B204" s="599"/>
      <c r="C204" s="35"/>
      <c r="D204" s="35"/>
      <c r="E204" s="35"/>
      <c r="F204" s="36"/>
      <c r="G204" s="36"/>
    </row>
    <row r="205" spans="1:13" x14ac:dyDescent="0.2">
      <c r="A205" s="357" t="s">
        <v>27</v>
      </c>
      <c r="B205" s="575" t="s">
        <v>303</v>
      </c>
      <c r="C205" s="600" t="s">
        <v>26</v>
      </c>
      <c r="D205" s="601"/>
      <c r="E205" s="601"/>
      <c r="F205" s="601"/>
      <c r="G205" s="602"/>
    </row>
    <row r="206" spans="1:13" x14ac:dyDescent="0.2">
      <c r="A206" s="38" t="s">
        <v>21</v>
      </c>
      <c r="B206" s="39">
        <f>C14*1.2</f>
        <v>14.399999999999999</v>
      </c>
      <c r="C206" s="40">
        <f>(C$211*$B206)-$E$195</f>
        <v>-33.680688153846177</v>
      </c>
      <c r="D206" s="40">
        <f>(D$211*B206)-$E$195</f>
        <v>110.3193118461536</v>
      </c>
      <c r="E206" s="40">
        <f>(E$211*$B206)-E$195</f>
        <v>254.3193118461536</v>
      </c>
      <c r="F206" s="41">
        <f>(F$211*$B206)-E$195</f>
        <v>398.31931184615382</v>
      </c>
      <c r="G206" s="41">
        <f>(G$211*B206)-E$195</f>
        <v>542.3193118461536</v>
      </c>
    </row>
    <row r="207" spans="1:13" x14ac:dyDescent="0.2">
      <c r="A207" s="38" t="s">
        <v>20</v>
      </c>
      <c r="B207" s="39">
        <f>C14*1.1</f>
        <v>13.200000000000001</v>
      </c>
      <c r="C207" s="40">
        <f>(C$211*B207)-$E$195</f>
        <v>-129.68068815384618</v>
      </c>
      <c r="D207" s="40">
        <f>(D$211*B207)-$E$195</f>
        <v>2.3193118461538234</v>
      </c>
      <c r="E207" s="40">
        <f>(E$211*$B207)-E$195</f>
        <v>134.31931184615382</v>
      </c>
      <c r="F207" s="41">
        <f>(F$211*$B207)-E$195</f>
        <v>266.31931184615405</v>
      </c>
      <c r="G207" s="41">
        <f>(G$211*B207)-E$195</f>
        <v>398.31931184615405</v>
      </c>
    </row>
    <row r="208" spans="1:13" x14ac:dyDescent="0.2">
      <c r="A208" s="250"/>
      <c r="B208" s="39">
        <f>C14</f>
        <v>12</v>
      </c>
      <c r="C208" s="40">
        <f>(C$211*B208)-$E$195</f>
        <v>-225.68068815384618</v>
      </c>
      <c r="D208" s="40">
        <f>(D$211*B208)-$E$195</f>
        <v>-105.68068815384618</v>
      </c>
      <c r="E208" s="43">
        <f>(E$211*$B208)-E$195</f>
        <v>14.319311846153823</v>
      </c>
      <c r="F208" s="41">
        <f>(F$211*$B208)-E$195</f>
        <v>134.31931184615405</v>
      </c>
      <c r="G208" s="41">
        <f>(G$211*B208)-E$195</f>
        <v>254.31931184615382</v>
      </c>
    </row>
    <row r="209" spans="1:7" x14ac:dyDescent="0.2">
      <c r="A209" s="38" t="s">
        <v>22</v>
      </c>
      <c r="B209" s="39">
        <f>C14*0.9</f>
        <v>10.8</v>
      </c>
      <c r="C209" s="40">
        <f>(C$211*B209)-$E$195</f>
        <v>-321.68068815384618</v>
      </c>
      <c r="D209" s="40">
        <f>(D$211*B209)-$E$195</f>
        <v>-213.68068815384606</v>
      </c>
      <c r="E209" s="40">
        <f>(E$211*$B209)-E$195</f>
        <v>-105.68068815384618</v>
      </c>
      <c r="F209" s="41">
        <f>(F$211*$B209)-E$195</f>
        <v>2.3193118461540507</v>
      </c>
      <c r="G209" s="41">
        <f>(G$211*B209)-E$195</f>
        <v>110.31931184615382</v>
      </c>
    </row>
    <row r="210" spans="1:7" x14ac:dyDescent="0.2">
      <c r="A210" s="38" t="s">
        <v>23</v>
      </c>
      <c r="B210" s="39">
        <f>C14*0.8</f>
        <v>9.6000000000000014</v>
      </c>
      <c r="C210" s="40">
        <f>(C$211*B210)-$E$195</f>
        <v>-417.68068815384606</v>
      </c>
      <c r="D210" s="40">
        <f>(D$211*B210)-$E$195</f>
        <v>-321.68068815384606</v>
      </c>
      <c r="E210" s="40">
        <f>(E$211*$B210)-E$195</f>
        <v>-225.68068815384606</v>
      </c>
      <c r="F210" s="41">
        <f>(F$211*$B210)-E$195</f>
        <v>-129.68068815384595</v>
      </c>
      <c r="G210" s="41">
        <f>(G$211*B210)-E$195</f>
        <v>-33.680688153845949</v>
      </c>
    </row>
    <row r="211" spans="1:7" x14ac:dyDescent="0.2">
      <c r="A211" s="356" t="s">
        <v>25</v>
      </c>
      <c r="B211" s="351"/>
      <c r="C211" s="352">
        <f>D14*0.8</f>
        <v>80</v>
      </c>
      <c r="D211" s="352">
        <f>D14*0.9</f>
        <v>90</v>
      </c>
      <c r="E211" s="352">
        <f>D14</f>
        <v>100</v>
      </c>
      <c r="F211" s="352">
        <f>D14*1.1</f>
        <v>110.00000000000001</v>
      </c>
      <c r="G211" s="352">
        <f>D14*1.2</f>
        <v>120</v>
      </c>
    </row>
    <row r="212" spans="1:7" x14ac:dyDescent="0.2">
      <c r="A212" s="356" t="s">
        <v>19</v>
      </c>
      <c r="B212" s="351"/>
      <c r="C212" s="353" t="s">
        <v>23</v>
      </c>
      <c r="D212" s="353" t="s">
        <v>22</v>
      </c>
      <c r="E212" s="354"/>
      <c r="F212" s="353" t="s">
        <v>20</v>
      </c>
      <c r="G212" s="355" t="s">
        <v>21</v>
      </c>
    </row>
  </sheetData>
  <sheetProtection algorithmName="SHA-512" hashValue="AnIsTMO/9Rd6z55Tq4YDEHT9aKV5cSexG5agmqYobCJrWY/EoODwG5Er60rr+2Y7dhdNAuw+NVlWQSsvOMyMMg==" saltValue="LtbNTCqZa7NQkJesVwBPuQ==" spinCount="100000" sheet="1" objects="1" scenarios="1"/>
  <mergeCells count="4">
    <mergeCell ref="C201:G201"/>
    <mergeCell ref="C203:G203"/>
    <mergeCell ref="A204:B204"/>
    <mergeCell ref="C205:G205"/>
  </mergeCells>
  <hyperlinks>
    <hyperlink ref="H134" r:id="rId1" xr:uid="{DD5122E9-9834-4A2B-80AE-20808FB99C07}"/>
    <hyperlink ref="H141" r:id="rId2" xr:uid="{D78292C3-073B-45CB-A073-711983B335F2}"/>
    <hyperlink ref="H135" r:id="rId3" xr:uid="{3AB48417-D7B1-491C-8C44-CF21D6DCA0FE}"/>
    <hyperlink ref="H138" r:id="rId4" xr:uid="{8D827E46-F24F-460C-86F0-6F0ABFF5AD75}"/>
  </hyperlinks>
  <pageMargins left="0.7" right="0.7" top="0.75" bottom="0.75" header="0.3" footer="0.3"/>
  <pageSetup scale="39" fitToHeight="0"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A4:N64"/>
  <sheetViews>
    <sheetView zoomScale="110" zoomScaleNormal="110" workbookViewId="0">
      <selection activeCell="C17" sqref="C17"/>
    </sheetView>
  </sheetViews>
  <sheetFormatPr defaultColWidth="8.85546875" defaultRowHeight="12.75" x14ac:dyDescent="0.2"/>
  <cols>
    <col min="1" max="1" width="3.140625" customWidth="1"/>
    <col min="2" max="2" width="21.28515625" customWidth="1"/>
    <col min="3" max="3" width="11.42578125" customWidth="1"/>
    <col min="4" max="4" width="14.42578125" customWidth="1"/>
    <col min="5" max="5" width="13" customWidth="1"/>
    <col min="6" max="6" width="10.42578125" customWidth="1"/>
    <col min="7" max="7" width="11.28515625" customWidth="1"/>
  </cols>
  <sheetData>
    <row r="4" spans="1:14" x14ac:dyDescent="0.2">
      <c r="K4" s="73"/>
      <c r="L4" s="56"/>
      <c r="M4" s="56"/>
      <c r="N4" s="56"/>
    </row>
    <row r="5" spans="1:14" x14ac:dyDescent="0.2">
      <c r="K5" s="73"/>
      <c r="L5" s="56"/>
      <c r="M5" s="56"/>
      <c r="N5" s="56"/>
    </row>
    <row r="6" spans="1:14" ht="18" x14ac:dyDescent="0.25">
      <c r="B6" s="416" t="s">
        <v>46</v>
      </c>
    </row>
    <row r="7" spans="1:14" x14ac:dyDescent="0.2">
      <c r="B7" s="44" t="s">
        <v>79</v>
      </c>
      <c r="C7" s="2"/>
      <c r="E7" s="2"/>
      <c r="F7" s="111"/>
    </row>
    <row r="8" spans="1:14" x14ac:dyDescent="0.2">
      <c r="B8" s="44" t="s">
        <v>229</v>
      </c>
      <c r="C8" s="2"/>
      <c r="E8" s="2"/>
      <c r="F8" s="340"/>
    </row>
    <row r="9" spans="1:14" x14ac:dyDescent="0.2">
      <c r="B9" s="44" t="s">
        <v>84</v>
      </c>
      <c r="C9" s="2"/>
      <c r="E9" s="2"/>
      <c r="F9" s="125"/>
    </row>
    <row r="11" spans="1:14" x14ac:dyDescent="0.2">
      <c r="A11" s="144"/>
      <c r="B11" s="168" t="s">
        <v>143</v>
      </c>
      <c r="C11" s="144"/>
      <c r="D11" s="144"/>
      <c r="E11" s="144"/>
      <c r="F11" s="144"/>
      <c r="G11" s="144"/>
      <c r="H11" s="144"/>
    </row>
    <row r="12" spans="1:14" x14ac:dyDescent="0.2">
      <c r="A12" s="56"/>
      <c r="B12" s="260"/>
      <c r="C12" s="56"/>
      <c r="D12" s="56"/>
      <c r="E12" s="56"/>
      <c r="F12" s="56"/>
      <c r="G12" s="56"/>
      <c r="H12" s="56"/>
    </row>
    <row r="13" spans="1:14" x14ac:dyDescent="0.2">
      <c r="A13" s="56"/>
      <c r="B13" s="260"/>
      <c r="C13" s="56"/>
      <c r="D13" s="56"/>
      <c r="E13" s="56"/>
      <c r="F13" s="56"/>
      <c r="G13" s="56"/>
      <c r="H13" s="56"/>
    </row>
    <row r="15" spans="1:14" x14ac:dyDescent="0.2">
      <c r="A15" s="144"/>
      <c r="B15" s="168" t="s">
        <v>332</v>
      </c>
      <c r="C15" s="144"/>
      <c r="D15" s="144"/>
      <c r="E15" s="144"/>
      <c r="F15" s="144"/>
      <c r="G15" s="144"/>
      <c r="H15" s="144"/>
      <c r="I15" s="56"/>
    </row>
    <row r="16" spans="1:14" x14ac:dyDescent="0.2">
      <c r="B16" s="91" t="s">
        <v>47</v>
      </c>
      <c r="C16" s="91" t="s">
        <v>287</v>
      </c>
      <c r="D16" s="91" t="s">
        <v>6</v>
      </c>
      <c r="E16" s="91" t="s">
        <v>296</v>
      </c>
    </row>
    <row r="17" spans="1:10" x14ac:dyDescent="0.2">
      <c r="B17" s="83" t="s">
        <v>5</v>
      </c>
      <c r="C17" s="104">
        <v>1090</v>
      </c>
      <c r="D17" s="93">
        <v>0.46</v>
      </c>
      <c r="E17" s="367">
        <f>C17/(2000*D17)</f>
        <v>1.1847826086956521</v>
      </c>
    </row>
    <row r="18" spans="1:10" x14ac:dyDescent="0.2">
      <c r="B18" s="94">
        <v>0.28000000000000003</v>
      </c>
      <c r="C18" s="104">
        <v>678</v>
      </c>
      <c r="D18" s="95">
        <v>0.28000000000000003</v>
      </c>
      <c r="E18" s="368">
        <f t="shared" ref="E18:E23" si="0">C18/(2000*D18)</f>
        <v>1.2107142857142856</v>
      </c>
      <c r="F18" s="10"/>
      <c r="H18" s="56"/>
    </row>
    <row r="19" spans="1:10" x14ac:dyDescent="0.2">
      <c r="B19" s="96">
        <v>0.32</v>
      </c>
      <c r="C19" s="104">
        <v>775</v>
      </c>
      <c r="D19" s="95">
        <v>0.32</v>
      </c>
      <c r="E19" s="368">
        <f t="shared" si="0"/>
        <v>1.2109375</v>
      </c>
      <c r="F19" s="6"/>
      <c r="G19" s="1"/>
      <c r="H19" s="56"/>
    </row>
    <row r="20" spans="1:10" x14ac:dyDescent="0.2">
      <c r="B20" s="83" t="s">
        <v>48</v>
      </c>
      <c r="C20" s="104">
        <v>0</v>
      </c>
      <c r="D20" s="97">
        <v>0.82</v>
      </c>
      <c r="E20" s="368">
        <f t="shared" si="0"/>
        <v>0</v>
      </c>
      <c r="F20" s="6"/>
      <c r="G20" s="1"/>
    </row>
    <row r="21" spans="1:10" x14ac:dyDescent="0.2">
      <c r="B21" s="289" t="s">
        <v>54</v>
      </c>
      <c r="C21" s="104">
        <v>1245</v>
      </c>
      <c r="D21" s="290">
        <v>0.44</v>
      </c>
      <c r="E21" s="368">
        <f t="shared" si="0"/>
        <v>1.4147727272727273</v>
      </c>
      <c r="F21" s="6"/>
      <c r="G21" s="1"/>
    </row>
    <row r="22" spans="1:10" x14ac:dyDescent="0.2">
      <c r="B22" s="291" t="s">
        <v>325</v>
      </c>
      <c r="C22" s="104">
        <v>1245</v>
      </c>
      <c r="D22" s="290">
        <v>0.46</v>
      </c>
      <c r="E22" s="368">
        <f t="shared" si="0"/>
        <v>1.3532608695652173</v>
      </c>
      <c r="F22" s="6"/>
      <c r="G22" s="1"/>
    </row>
    <row r="23" spans="1:10" x14ac:dyDescent="0.2">
      <c r="B23" s="291"/>
      <c r="C23" s="104"/>
      <c r="D23" s="290"/>
      <c r="E23" s="368" t="e">
        <f t="shared" si="0"/>
        <v>#DIV/0!</v>
      </c>
      <c r="F23" s="6"/>
      <c r="G23" s="1"/>
    </row>
    <row r="24" spans="1:10" x14ac:dyDescent="0.2">
      <c r="B24" s="27"/>
      <c r="C24" s="10"/>
      <c r="D24" s="6"/>
      <c r="E24" s="2"/>
      <c r="F24" s="25"/>
      <c r="H24" s="56"/>
    </row>
    <row r="25" spans="1:10" x14ac:dyDescent="0.2">
      <c r="A25" s="170"/>
      <c r="B25" s="171" t="s">
        <v>97</v>
      </c>
      <c r="C25" s="175"/>
      <c r="D25" s="174"/>
      <c r="E25" s="151"/>
      <c r="F25" s="174"/>
      <c r="G25" s="170"/>
      <c r="H25" s="170"/>
    </row>
    <row r="26" spans="1:10" x14ac:dyDescent="0.2">
      <c r="B26" s="99" t="s">
        <v>95</v>
      </c>
      <c r="C26" s="85" t="s">
        <v>293</v>
      </c>
      <c r="D26" s="99" t="s">
        <v>295</v>
      </c>
      <c r="E26" s="99" t="s">
        <v>294</v>
      </c>
      <c r="F26" s="100"/>
      <c r="H26" s="56"/>
    </row>
    <row r="27" spans="1:10" x14ac:dyDescent="0.2">
      <c r="B27" s="289" t="s">
        <v>96</v>
      </c>
      <c r="C27" s="183">
        <v>40</v>
      </c>
      <c r="D27" s="101">
        <v>37</v>
      </c>
      <c r="E27" s="339">
        <f>(C27/128)*D27</f>
        <v>11.5625</v>
      </c>
      <c r="F27" s="25"/>
      <c r="H27" s="56"/>
    </row>
    <row r="28" spans="1:10" x14ac:dyDescent="0.2">
      <c r="B28" s="291"/>
      <c r="C28" s="183"/>
      <c r="D28" s="101"/>
      <c r="E28" s="339"/>
      <c r="F28" s="25"/>
      <c r="H28" s="56"/>
      <c r="J28" s="29" t="s">
        <v>342</v>
      </c>
    </row>
    <row r="29" spans="1:10" x14ac:dyDescent="0.2">
      <c r="B29" s="291"/>
      <c r="C29" s="183"/>
      <c r="D29" s="101"/>
      <c r="E29" s="339"/>
      <c r="F29" s="25"/>
      <c r="H29" s="56"/>
      <c r="J29" s="57" t="s">
        <v>341</v>
      </c>
    </row>
    <row r="30" spans="1:10" x14ac:dyDescent="0.2">
      <c r="B30" s="291"/>
      <c r="C30" s="183"/>
      <c r="D30" s="101"/>
      <c r="E30" s="339"/>
      <c r="F30" s="25"/>
      <c r="H30" s="56"/>
    </row>
    <row r="31" spans="1:10" x14ac:dyDescent="0.2">
      <c r="B31" s="27"/>
      <c r="C31" s="10"/>
      <c r="D31" s="6"/>
      <c r="E31" s="2"/>
      <c r="F31" s="25"/>
      <c r="H31" s="56"/>
    </row>
    <row r="32" spans="1:10" x14ac:dyDescent="0.2">
      <c r="A32" s="170"/>
      <c r="B32" s="171" t="s">
        <v>190</v>
      </c>
      <c r="C32" s="172"/>
      <c r="D32" s="173"/>
      <c r="E32" s="151"/>
      <c r="F32" s="174"/>
      <c r="G32" s="170"/>
      <c r="H32" s="170"/>
    </row>
    <row r="33" spans="2:10" ht="38.25" x14ac:dyDescent="0.2">
      <c r="B33" s="12" t="s">
        <v>64</v>
      </c>
      <c r="C33" s="85" t="s">
        <v>293</v>
      </c>
      <c r="D33" s="387" t="s">
        <v>292</v>
      </c>
      <c r="E33" s="388" t="s">
        <v>291</v>
      </c>
      <c r="F33" s="387" t="s">
        <v>290</v>
      </c>
      <c r="G33" s="386" t="s">
        <v>191</v>
      </c>
      <c r="H33" s="386" t="s">
        <v>289</v>
      </c>
    </row>
    <row r="34" spans="2:10" x14ac:dyDescent="0.2">
      <c r="B34" s="289" t="s">
        <v>65</v>
      </c>
      <c r="C34" s="292">
        <v>141</v>
      </c>
      <c r="D34" s="101">
        <v>64</v>
      </c>
      <c r="E34" s="369">
        <f>((C34/128)*D34)/2000</f>
        <v>3.5249999999999997E-2</v>
      </c>
      <c r="F34" s="293">
        <v>120</v>
      </c>
      <c r="G34" s="290">
        <v>0.46</v>
      </c>
      <c r="H34" s="371">
        <f>(F34/G34)*E34</f>
        <v>9.195652173913043</v>
      </c>
    </row>
    <row r="35" spans="2:10" x14ac:dyDescent="0.2">
      <c r="B35" s="289"/>
      <c r="C35" s="292"/>
      <c r="D35" s="101"/>
      <c r="E35" s="370"/>
      <c r="F35" s="294"/>
      <c r="G35" s="290"/>
      <c r="H35" s="372"/>
    </row>
    <row r="36" spans="2:10" x14ac:dyDescent="0.2">
      <c r="B36" s="289"/>
      <c r="C36" s="292"/>
      <c r="D36" s="101"/>
      <c r="E36" s="370"/>
      <c r="F36" s="294"/>
      <c r="G36" s="290"/>
      <c r="H36" s="372"/>
    </row>
    <row r="37" spans="2:10" x14ac:dyDescent="0.2">
      <c r="B37" s="289"/>
      <c r="C37" s="292"/>
      <c r="D37" s="101"/>
      <c r="E37" s="370"/>
      <c r="F37" s="294"/>
      <c r="G37" s="290"/>
      <c r="H37" s="372"/>
    </row>
    <row r="38" spans="2:10" x14ac:dyDescent="0.2">
      <c r="B38" s="27"/>
      <c r="C38" s="10"/>
      <c r="D38" s="6"/>
      <c r="E38" s="2"/>
      <c r="F38" s="25"/>
      <c r="H38" s="56"/>
    </row>
    <row r="39" spans="2:10" ht="26.25" x14ac:dyDescent="0.25">
      <c r="B39" s="99" t="s">
        <v>49</v>
      </c>
      <c r="C39" s="99" t="s">
        <v>287</v>
      </c>
      <c r="D39" s="103" t="s">
        <v>57</v>
      </c>
      <c r="E39" s="103" t="s">
        <v>288</v>
      </c>
      <c r="F39" s="98"/>
      <c r="G39" s="114" t="s">
        <v>62</v>
      </c>
      <c r="H39" s="114" t="s">
        <v>60</v>
      </c>
      <c r="I39" s="386" t="s">
        <v>61</v>
      </c>
    </row>
    <row r="40" spans="2:10" x14ac:dyDescent="0.2">
      <c r="B40" s="102" t="s">
        <v>50</v>
      </c>
      <c r="C40" s="104">
        <v>0</v>
      </c>
      <c r="D40" s="105">
        <v>0.52</v>
      </c>
      <c r="E40" s="368">
        <f>MAX(0,(C40-((2000*0.11)*E46))/(2000*D40))</f>
        <v>0</v>
      </c>
      <c r="F40" s="3"/>
      <c r="G40" s="101"/>
      <c r="H40" s="290">
        <v>0.11</v>
      </c>
      <c r="I40" s="373">
        <f>(G40/D40)*H40</f>
        <v>0</v>
      </c>
    </row>
    <row r="41" spans="2:10" x14ac:dyDescent="0.2">
      <c r="B41" s="102" t="s">
        <v>51</v>
      </c>
      <c r="C41" s="104">
        <v>0</v>
      </c>
      <c r="D41" s="105">
        <v>0.46</v>
      </c>
      <c r="E41" s="368">
        <f>MAX(0,(C41-((2000*0.18)*E46))/(2000*D41))</f>
        <v>0</v>
      </c>
      <c r="F41" s="3"/>
      <c r="G41" s="101">
        <v>100</v>
      </c>
      <c r="H41" s="290">
        <v>0.18</v>
      </c>
      <c r="I41" s="373">
        <f>(G41/D41)*H41</f>
        <v>39.130434782608688</v>
      </c>
    </row>
    <row r="42" spans="2:10" x14ac:dyDescent="0.2">
      <c r="B42" s="102" t="s">
        <v>52</v>
      </c>
      <c r="C42" s="104">
        <v>0</v>
      </c>
      <c r="D42" s="105">
        <v>0.46</v>
      </c>
      <c r="E42" s="368">
        <f>C42/(2000*D42)</f>
        <v>0</v>
      </c>
      <c r="F42" s="3"/>
      <c r="G42" s="3"/>
    </row>
    <row r="43" spans="2:10" x14ac:dyDescent="0.2">
      <c r="B43" s="102" t="s">
        <v>53</v>
      </c>
      <c r="C43" s="104">
        <v>1120</v>
      </c>
      <c r="D43" s="95">
        <v>0.4</v>
      </c>
      <c r="E43" s="368">
        <f>MAX(0,(C43-((2000*0.12)*E46))/(2000*D43))</f>
        <v>1.2890000000000001</v>
      </c>
      <c r="F43" s="13"/>
      <c r="G43" s="101"/>
      <c r="H43" s="562">
        <v>0.12</v>
      </c>
      <c r="I43" s="373">
        <f>(G43/D43)*H43</f>
        <v>0</v>
      </c>
    </row>
    <row r="44" spans="2:10" x14ac:dyDescent="0.2">
      <c r="B44" s="291"/>
      <c r="C44" s="104"/>
      <c r="D44" s="290">
        <v>1E-3</v>
      </c>
      <c r="E44" s="368"/>
      <c r="F44" s="10"/>
      <c r="G44" s="296"/>
      <c r="H44" s="562"/>
      <c r="I44" s="373">
        <f>(G44/D44)*H44</f>
        <v>0</v>
      </c>
    </row>
    <row r="45" spans="2:10" x14ac:dyDescent="0.2">
      <c r="B45" s="291"/>
      <c r="C45" s="104"/>
      <c r="D45" s="290">
        <v>0.01</v>
      </c>
      <c r="E45" s="368"/>
      <c r="F45" s="10"/>
      <c r="G45" s="296"/>
      <c r="H45" s="562"/>
      <c r="I45" s="373">
        <f>(G45/D45)*H45</f>
        <v>0</v>
      </c>
    </row>
    <row r="46" spans="2:10" x14ac:dyDescent="0.2">
      <c r="B46" s="52" t="s">
        <v>246</v>
      </c>
      <c r="C46" s="106"/>
      <c r="D46" s="92"/>
      <c r="E46" s="295">
        <v>0.37</v>
      </c>
      <c r="F46" s="10"/>
      <c r="G46" s="10"/>
      <c r="I46" s="373">
        <f>SUM(I40:I45)</f>
        <v>39.130434782608688</v>
      </c>
      <c r="J46" s="29" t="s">
        <v>63</v>
      </c>
    </row>
    <row r="47" spans="2:10" x14ac:dyDescent="0.2">
      <c r="B47" s="27"/>
      <c r="C47" s="10"/>
      <c r="D47" s="10"/>
      <c r="E47" s="10"/>
      <c r="F47" s="10"/>
      <c r="G47" s="10"/>
      <c r="I47" s="371">
        <f>I46*E46</f>
        <v>14.478260869565215</v>
      </c>
      <c r="J47" s="29" t="s">
        <v>192</v>
      </c>
    </row>
    <row r="48" spans="2:10" ht="14.25" x14ac:dyDescent="0.25">
      <c r="B48" s="99" t="s">
        <v>41</v>
      </c>
      <c r="C48" s="99" t="s">
        <v>287</v>
      </c>
      <c r="D48" s="99" t="s">
        <v>58</v>
      </c>
      <c r="E48" s="99" t="s">
        <v>286</v>
      </c>
      <c r="F48" s="108"/>
      <c r="G48" s="108"/>
    </row>
    <row r="49" spans="2:7" x14ac:dyDescent="0.2">
      <c r="B49" s="102" t="s">
        <v>55</v>
      </c>
      <c r="C49" s="104">
        <v>0</v>
      </c>
      <c r="D49" s="110">
        <v>0.6</v>
      </c>
      <c r="E49" s="374">
        <f>C49/(2000*D49)</f>
        <v>0</v>
      </c>
      <c r="F49" s="90"/>
      <c r="G49" s="42"/>
    </row>
    <row r="50" spans="2:7" x14ac:dyDescent="0.2">
      <c r="B50" s="102" t="s">
        <v>56</v>
      </c>
      <c r="C50" s="104">
        <v>885</v>
      </c>
      <c r="D50" s="95">
        <v>0.62</v>
      </c>
      <c r="E50" s="368">
        <f>C50/(2000*D50)</f>
        <v>0.71370967741935487</v>
      </c>
      <c r="F50" s="107"/>
      <c r="G50" s="42"/>
    </row>
    <row r="51" spans="2:7" x14ac:dyDescent="0.2">
      <c r="B51" s="291"/>
      <c r="C51" s="104"/>
      <c r="D51" s="290"/>
      <c r="E51" s="368" t="e">
        <f>C51/(2000*D51)</f>
        <v>#DIV/0!</v>
      </c>
      <c r="F51" s="10"/>
      <c r="G51" s="42"/>
    </row>
    <row r="52" spans="2:7" x14ac:dyDescent="0.2">
      <c r="B52" s="291"/>
      <c r="C52" s="104"/>
      <c r="D52" s="290"/>
      <c r="E52" s="368" t="e">
        <f>C52/(2000*D52)</f>
        <v>#DIV/0!</v>
      </c>
    </row>
    <row r="54" spans="2:7" x14ac:dyDescent="0.2">
      <c r="B54" s="109"/>
      <c r="C54" s="13"/>
    </row>
    <row r="55" spans="2:7" x14ac:dyDescent="0.2">
      <c r="B55" s="18" t="s">
        <v>73</v>
      </c>
      <c r="C55" s="3"/>
    </row>
    <row r="56" spans="2:7" x14ac:dyDescent="0.2">
      <c r="B56" s="18"/>
      <c r="C56" s="385" t="s">
        <v>285</v>
      </c>
      <c r="D56" s="91" t="s">
        <v>284</v>
      </c>
      <c r="E56" s="91" t="s">
        <v>77</v>
      </c>
      <c r="F56" s="91" t="s">
        <v>283</v>
      </c>
    </row>
    <row r="57" spans="2:7" x14ac:dyDescent="0.2">
      <c r="B57" s="102" t="s">
        <v>74</v>
      </c>
      <c r="C57" s="104">
        <v>9</v>
      </c>
      <c r="D57" s="101">
        <v>5</v>
      </c>
      <c r="E57" s="101">
        <v>4</v>
      </c>
      <c r="F57" s="371">
        <f>(C57/D57)/E57</f>
        <v>0.45</v>
      </c>
    </row>
    <row r="58" spans="2:7" x14ac:dyDescent="0.2">
      <c r="B58" s="102" t="s">
        <v>75</v>
      </c>
      <c r="C58" s="104">
        <v>20</v>
      </c>
      <c r="D58" s="101">
        <v>20</v>
      </c>
      <c r="E58" s="134">
        <v>1</v>
      </c>
      <c r="F58" s="371">
        <f t="shared" ref="F58:F63" si="1">(C58/D58)/E58</f>
        <v>1</v>
      </c>
    </row>
    <row r="59" spans="2:7" x14ac:dyDescent="0.2">
      <c r="B59" s="83" t="s">
        <v>76</v>
      </c>
      <c r="C59" s="104"/>
      <c r="D59" s="101">
        <v>0.1</v>
      </c>
      <c r="E59" s="134">
        <v>1</v>
      </c>
      <c r="F59" s="371">
        <f t="shared" si="1"/>
        <v>0</v>
      </c>
    </row>
    <row r="60" spans="2:7" x14ac:dyDescent="0.2">
      <c r="B60" s="101"/>
      <c r="C60" s="104"/>
      <c r="D60" s="101">
        <v>0.1</v>
      </c>
      <c r="E60" s="101">
        <v>0.1</v>
      </c>
      <c r="F60" s="371">
        <f t="shared" si="1"/>
        <v>0</v>
      </c>
    </row>
    <row r="61" spans="2:7" x14ac:dyDescent="0.2">
      <c r="B61" s="101"/>
      <c r="C61" s="104"/>
      <c r="D61" s="101">
        <v>0.1</v>
      </c>
      <c r="E61" s="101">
        <v>0.1</v>
      </c>
      <c r="F61" s="371">
        <f t="shared" si="1"/>
        <v>0</v>
      </c>
    </row>
    <row r="62" spans="2:7" x14ac:dyDescent="0.2">
      <c r="B62" s="101"/>
      <c r="C62" s="104"/>
      <c r="D62" s="101">
        <v>0.1</v>
      </c>
      <c r="E62" s="101">
        <v>0.1</v>
      </c>
      <c r="F62" s="371">
        <f t="shared" si="1"/>
        <v>0</v>
      </c>
    </row>
    <row r="63" spans="2:7" x14ac:dyDescent="0.2">
      <c r="B63" s="101"/>
      <c r="C63" s="104"/>
      <c r="D63" s="101">
        <v>0.1</v>
      </c>
      <c r="E63" s="101">
        <v>0.1</v>
      </c>
      <c r="F63" s="371">
        <f t="shared" si="1"/>
        <v>0</v>
      </c>
    </row>
    <row r="64" spans="2:7" x14ac:dyDescent="0.2">
      <c r="B64" s="72" t="s">
        <v>78</v>
      </c>
      <c r="C64" s="72"/>
      <c r="F64" s="371">
        <f>SUM(F57:F63)</f>
        <v>1.45</v>
      </c>
    </row>
  </sheetData>
  <sheetProtection algorithmName="SHA-512" hashValue="Lc3r5hzrFjZ7xPFtQUpkIOFeLoDHfpA37jPi6rdUInbKfncU0Zq3ZwLWOihQRZnopnOqka0S+4FZeuN3RIk6aQ==" saltValue="0djwaQMoWrGrZtee1Zd2bA==" spinCount="100000" sheet="1" objects="1" scenarios="1"/>
  <hyperlinks>
    <hyperlink ref="J29" r:id="rId1" xr:uid="{00000000-0004-0000-0100-000000000000}"/>
  </hyperlinks>
  <pageMargins left="0.7" right="0.7" top="0.75" bottom="0.75" header="0.3" footer="0.3"/>
  <pageSetup scale="71"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X161"/>
  <sheetViews>
    <sheetView zoomScaleNormal="100" workbookViewId="0">
      <selection activeCell="C14" sqref="C14"/>
    </sheetView>
  </sheetViews>
  <sheetFormatPr defaultColWidth="8.42578125" defaultRowHeight="12.75" x14ac:dyDescent="0.2"/>
  <cols>
    <col min="1" max="1" width="23.42578125" customWidth="1"/>
    <col min="2" max="2" width="15.85546875" customWidth="1"/>
    <col min="3" max="3" width="15.42578125" customWidth="1"/>
    <col min="4" max="4" width="14.425781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8.42578125" customWidth="1"/>
  </cols>
  <sheetData>
    <row r="1" spans="1:11" ht="15.75" customHeight="1" x14ac:dyDescent="0.2">
      <c r="A1" s="29" t="s">
        <v>29</v>
      </c>
      <c r="E1" s="57"/>
    </row>
    <row r="2" spans="1:11" ht="8.25" customHeight="1" x14ac:dyDescent="0.2"/>
    <row r="3" spans="1:11" ht="15" customHeight="1" x14ac:dyDescent="0.2"/>
    <row r="4" spans="1:11" ht="8.25" customHeight="1" x14ac:dyDescent="0.2"/>
    <row r="5" spans="1:11" ht="18.75" customHeight="1" x14ac:dyDescent="0.25">
      <c r="A5" s="4" t="s">
        <v>316</v>
      </c>
      <c r="B5" s="2"/>
      <c r="D5" s="28"/>
      <c r="E5" s="54"/>
      <c r="F5" s="2"/>
      <c r="G5" s="2"/>
      <c r="H5" s="2"/>
      <c r="I5" s="2"/>
      <c r="J5" s="2"/>
      <c r="K5" s="2"/>
    </row>
    <row r="6" spans="1:11" ht="5.25" customHeight="1" x14ac:dyDescent="0.2">
      <c r="A6" s="2"/>
      <c r="B6" s="2"/>
      <c r="C6" s="2"/>
      <c r="D6" s="2"/>
      <c r="E6" s="2"/>
      <c r="F6" s="2"/>
      <c r="G6" s="2"/>
      <c r="H6" s="2"/>
      <c r="I6" s="2"/>
      <c r="J6" s="2"/>
      <c r="K6" s="2"/>
    </row>
    <row r="7" spans="1:11" x14ac:dyDescent="0.2">
      <c r="A7" s="44" t="s">
        <v>83</v>
      </c>
      <c r="B7" s="2"/>
      <c r="D7" s="2"/>
      <c r="E7" s="111"/>
      <c r="F7" s="2"/>
      <c r="G7" s="2"/>
      <c r="H7" s="2"/>
      <c r="I7" s="60"/>
      <c r="J7" s="2"/>
      <c r="K7" s="2"/>
    </row>
    <row r="8" spans="1:11" x14ac:dyDescent="0.2">
      <c r="A8" s="44" t="s">
        <v>229</v>
      </c>
      <c r="B8" s="2"/>
      <c r="D8" s="2"/>
      <c r="E8" s="340"/>
      <c r="F8" s="2"/>
      <c r="G8" s="2"/>
      <c r="H8" s="2"/>
      <c r="I8" s="2"/>
      <c r="J8" s="2"/>
      <c r="K8" s="2"/>
    </row>
    <row r="9" spans="1:11" x14ac:dyDescent="0.2">
      <c r="A9" s="44" t="s">
        <v>71</v>
      </c>
      <c r="B9" s="2"/>
      <c r="D9" s="2"/>
      <c r="E9" s="125"/>
      <c r="F9" s="2"/>
      <c r="G9" s="2"/>
      <c r="H9" s="2"/>
      <c r="I9" s="2"/>
      <c r="J9" s="2"/>
      <c r="K9" s="2"/>
    </row>
    <row r="10" spans="1:11" x14ac:dyDescent="0.2">
      <c r="A10" s="44"/>
      <c r="B10" s="2"/>
      <c r="C10" s="5"/>
      <c r="D10" s="2"/>
      <c r="E10" s="2"/>
      <c r="F10" s="2"/>
    </row>
    <row r="11" spans="1:11" ht="20.100000000000001" customHeight="1" x14ac:dyDescent="0.25">
      <c r="A11" s="4" t="s">
        <v>344</v>
      </c>
      <c r="B11" s="278"/>
      <c r="C11" s="277"/>
      <c r="D11" s="67"/>
      <c r="E11" s="2"/>
      <c r="F11" s="2"/>
    </row>
    <row r="12" spans="1:11" x14ac:dyDescent="0.2">
      <c r="A12" s="178" t="s">
        <v>37</v>
      </c>
      <c r="B12" s="176"/>
      <c r="C12" s="177"/>
      <c r="D12" s="176"/>
      <c r="E12" s="176"/>
      <c r="F12" s="146"/>
    </row>
    <row r="13" spans="1:11" x14ac:dyDescent="0.2">
      <c r="A13" s="44"/>
      <c r="B13" s="2"/>
      <c r="C13" s="85" t="s">
        <v>235</v>
      </c>
      <c r="D13" s="310" t="s">
        <v>236</v>
      </c>
      <c r="E13" s="44" t="s">
        <v>237</v>
      </c>
      <c r="F13" s="2"/>
    </row>
    <row r="14" spans="1:11" x14ac:dyDescent="0.2">
      <c r="A14" s="67" t="s">
        <v>38</v>
      </c>
      <c r="B14" s="2"/>
      <c r="C14" s="112">
        <v>175</v>
      </c>
      <c r="D14" s="183">
        <v>6.5</v>
      </c>
      <c r="E14" s="339">
        <f>C14*D14</f>
        <v>1137.5</v>
      </c>
      <c r="F14" s="2"/>
    </row>
    <row r="15" spans="1:11" x14ac:dyDescent="0.2">
      <c r="A15" s="67" t="s">
        <v>249</v>
      </c>
      <c r="B15" s="2"/>
      <c r="C15" s="5"/>
      <c r="D15" s="2"/>
      <c r="E15" s="256">
        <v>0</v>
      </c>
      <c r="F15" s="2"/>
    </row>
    <row r="16" spans="1:11" x14ac:dyDescent="0.2">
      <c r="A16" s="229" t="s">
        <v>200</v>
      </c>
      <c r="B16" s="230"/>
      <c r="C16" s="226"/>
      <c r="D16" s="230"/>
      <c r="E16" s="341">
        <f>E14+E15</f>
        <v>1137.5</v>
      </c>
      <c r="F16" s="2"/>
    </row>
    <row r="17" spans="1:24" x14ac:dyDescent="0.2">
      <c r="A17" s="178" t="s">
        <v>40</v>
      </c>
      <c r="B17" s="179"/>
      <c r="C17" s="180"/>
      <c r="D17" s="179"/>
      <c r="E17" s="179"/>
      <c r="F17" s="181"/>
    </row>
    <row r="18" spans="1:24" ht="12" customHeight="1" x14ac:dyDescent="0.2">
      <c r="A18" s="25"/>
      <c r="B18" s="7"/>
      <c r="C18" s="5"/>
      <c r="D18" s="7"/>
      <c r="E18" s="7"/>
      <c r="F18" s="2"/>
    </row>
    <row r="19" spans="1:24" x14ac:dyDescent="0.2">
      <c r="A19" s="168" t="s">
        <v>4</v>
      </c>
      <c r="B19" s="144"/>
      <c r="C19" s="167"/>
      <c r="D19" s="167"/>
      <c r="E19" s="167"/>
      <c r="F19" s="146"/>
      <c r="M19" s="56"/>
      <c r="N19" s="56"/>
      <c r="O19" s="56"/>
      <c r="P19" s="56"/>
    </row>
    <row r="20" spans="1:24" ht="15" customHeight="1" x14ac:dyDescent="0.2">
      <c r="A20" s="152" t="s">
        <v>88</v>
      </c>
      <c r="B20" s="153"/>
      <c r="C20" s="154"/>
      <c r="D20" s="154"/>
      <c r="E20" s="154"/>
      <c r="F20" s="151"/>
      <c r="G20" s="42"/>
      <c r="H20" s="108"/>
      <c r="I20" s="42"/>
      <c r="J20" s="108"/>
      <c r="K20" s="42"/>
      <c r="M20" s="73"/>
      <c r="N20" s="56"/>
      <c r="O20" s="56"/>
      <c r="P20" s="56"/>
    </row>
    <row r="21" spans="1:24" x14ac:dyDescent="0.2">
      <c r="A21" s="53"/>
      <c r="B21" s="91" t="s">
        <v>238</v>
      </c>
      <c r="C21" s="91" t="s">
        <v>239</v>
      </c>
      <c r="D21" s="91" t="s">
        <v>240</v>
      </c>
      <c r="E21" s="85" t="s">
        <v>241</v>
      </c>
      <c r="F21" s="2"/>
      <c r="G21" s="109"/>
      <c r="H21" s="100"/>
      <c r="I21" s="42"/>
      <c r="J21" s="100"/>
      <c r="K21" s="108"/>
      <c r="M21" s="73"/>
      <c r="N21" s="56"/>
      <c r="O21" s="56"/>
      <c r="P21" s="56"/>
    </row>
    <row r="22" spans="1:24" x14ac:dyDescent="0.2">
      <c r="A22" s="61" t="s">
        <v>304</v>
      </c>
      <c r="B22" s="297">
        <v>11.65</v>
      </c>
      <c r="C22" s="124">
        <v>5</v>
      </c>
      <c r="D22" s="140">
        <v>995</v>
      </c>
      <c r="E22" s="342">
        <f>((D22/2000)*B22*C22)</f>
        <v>28.979375000000005</v>
      </c>
      <c r="F22" s="2"/>
      <c r="G22" s="89"/>
      <c r="H22" s="10"/>
      <c r="I22" s="116"/>
      <c r="J22" s="10"/>
      <c r="K22" s="42"/>
      <c r="M22" s="56"/>
      <c r="N22" s="56"/>
      <c r="O22" s="73"/>
      <c r="P22" s="73"/>
      <c r="Q22" s="73"/>
      <c r="R22" s="73"/>
      <c r="S22" s="56"/>
      <c r="T22" s="56"/>
      <c r="U22" s="56"/>
      <c r="V22" s="56"/>
      <c r="W22" s="56"/>
      <c r="X22" s="56"/>
    </row>
    <row r="23" spans="1:24" x14ac:dyDescent="0.2">
      <c r="A23" s="61"/>
      <c r="B23" s="63"/>
      <c r="C23" s="75"/>
      <c r="D23" s="17"/>
      <c r="E23" s="74"/>
      <c r="F23" s="2"/>
      <c r="G23" s="89"/>
      <c r="H23" s="10"/>
      <c r="I23" s="116"/>
      <c r="J23" s="10"/>
      <c r="K23" s="42"/>
      <c r="M23" s="56"/>
      <c r="N23" s="56"/>
      <c r="O23" s="73"/>
      <c r="P23" s="73"/>
      <c r="Q23" s="73"/>
      <c r="R23" s="73"/>
      <c r="S23" s="56"/>
      <c r="T23" s="56"/>
      <c r="U23" s="56"/>
      <c r="V23" s="56"/>
      <c r="W23" s="56"/>
      <c r="X23" s="56"/>
    </row>
    <row r="24" spans="1:24" x14ac:dyDescent="0.2">
      <c r="A24" s="53"/>
      <c r="C24" s="91" t="s">
        <v>242</v>
      </c>
      <c r="D24" s="91" t="s">
        <v>240</v>
      </c>
      <c r="E24" s="85" t="s">
        <v>241</v>
      </c>
      <c r="F24" s="2"/>
      <c r="G24" s="109"/>
      <c r="H24" s="100"/>
      <c r="I24" s="42"/>
      <c r="J24" s="100"/>
      <c r="K24" s="108"/>
      <c r="M24" s="73"/>
      <c r="N24" s="56"/>
      <c r="O24" s="56"/>
      <c r="P24" s="56"/>
    </row>
    <row r="25" spans="1:24" x14ac:dyDescent="0.2">
      <c r="A25" s="298" t="s">
        <v>33</v>
      </c>
      <c r="B25" s="7"/>
      <c r="C25" s="112">
        <v>0</v>
      </c>
      <c r="D25" s="140">
        <v>1000</v>
      </c>
      <c r="E25" s="343">
        <f>C25*(D25/2000)</f>
        <v>0</v>
      </c>
      <c r="F25" s="2"/>
      <c r="G25" s="14"/>
      <c r="H25" s="3"/>
      <c r="I25" s="42"/>
      <c r="J25" s="90"/>
      <c r="K25" s="42"/>
    </row>
    <row r="26" spans="1:24" x14ac:dyDescent="0.2">
      <c r="A26" s="298" t="s">
        <v>66</v>
      </c>
      <c r="B26" s="7"/>
      <c r="C26" s="123"/>
      <c r="D26" s="140">
        <v>0</v>
      </c>
      <c r="E26" s="344">
        <f>C26*(D26/2000)</f>
        <v>0</v>
      </c>
      <c r="F26" s="2"/>
      <c r="G26" s="14"/>
      <c r="H26" s="3"/>
      <c r="I26" s="42"/>
      <c r="J26" s="90"/>
      <c r="K26" s="42"/>
    </row>
    <row r="27" spans="1:24" x14ac:dyDescent="0.2">
      <c r="A27" s="299" t="s">
        <v>66</v>
      </c>
      <c r="B27" s="7"/>
      <c r="C27" s="123"/>
      <c r="D27" s="281">
        <v>0</v>
      </c>
      <c r="E27" s="344">
        <f>C27*(D27/2000)</f>
        <v>0</v>
      </c>
      <c r="F27" s="2"/>
      <c r="G27" s="14"/>
      <c r="H27" s="3"/>
      <c r="I27" s="42"/>
      <c r="J27" s="90"/>
      <c r="K27" s="42"/>
    </row>
    <row r="28" spans="1:24" x14ac:dyDescent="0.2">
      <c r="A28" s="298"/>
      <c r="B28" s="11"/>
      <c r="C28" s="112"/>
      <c r="D28" s="140">
        <v>0</v>
      </c>
      <c r="E28" s="343">
        <f>C28*(D28/2000)</f>
        <v>0</v>
      </c>
      <c r="F28" s="2"/>
      <c r="G28" s="14"/>
      <c r="H28" s="3"/>
      <c r="I28" s="42"/>
      <c r="J28" s="90"/>
      <c r="K28" s="42"/>
    </row>
    <row r="29" spans="1:24" x14ac:dyDescent="0.2">
      <c r="A29" s="147"/>
      <c r="B29" s="148"/>
      <c r="C29" s="65"/>
      <c r="D29" s="169"/>
      <c r="E29" s="145"/>
      <c r="F29" s="2"/>
      <c r="G29" s="14"/>
      <c r="H29" s="3"/>
      <c r="I29" s="42"/>
      <c r="J29" s="90"/>
      <c r="K29" s="42"/>
    </row>
    <row r="30" spans="1:24" ht="14.25" customHeight="1" x14ac:dyDescent="0.2">
      <c r="A30" s="149" t="s">
        <v>135</v>
      </c>
      <c r="B30" s="150"/>
      <c r="C30" s="231"/>
      <c r="D30" s="232"/>
      <c r="E30" s="232"/>
      <c r="F30" s="151"/>
      <c r="G30" s="2"/>
      <c r="H30" s="2"/>
      <c r="I30" s="2"/>
      <c r="J30" s="2"/>
      <c r="K30" s="2"/>
      <c r="L30" s="56"/>
      <c r="M30" s="56"/>
      <c r="N30" s="56"/>
      <c r="O30" s="56"/>
      <c r="P30" s="56"/>
      <c r="Q30" s="56"/>
      <c r="R30" s="56"/>
      <c r="S30" s="56"/>
      <c r="T30" s="56"/>
    </row>
    <row r="31" spans="1:24" ht="14.25" customHeight="1" x14ac:dyDescent="0.2">
      <c r="A31" s="76" t="s">
        <v>306</v>
      </c>
      <c r="B31" s="2"/>
      <c r="C31" s="311" t="s">
        <v>243</v>
      </c>
      <c r="D31" s="310" t="s">
        <v>244</v>
      </c>
      <c r="E31" s="85" t="s">
        <v>241</v>
      </c>
      <c r="F31" s="2"/>
      <c r="G31" s="2"/>
      <c r="H31" s="2"/>
      <c r="I31" s="2"/>
      <c r="J31" s="2"/>
      <c r="K31" s="2"/>
      <c r="L31" s="56"/>
      <c r="M31" s="56"/>
      <c r="N31" s="56"/>
      <c r="O31" s="56"/>
      <c r="P31" s="56"/>
      <c r="Q31" s="56"/>
      <c r="R31" s="56"/>
      <c r="S31" s="56"/>
      <c r="T31" s="56"/>
    </row>
    <row r="32" spans="1:24" ht="14.25" customHeight="1" x14ac:dyDescent="0.2">
      <c r="A32" s="291" t="s">
        <v>14</v>
      </c>
      <c r="B32" s="88"/>
      <c r="C32" s="112">
        <v>115</v>
      </c>
      <c r="D32" s="140">
        <v>1.18</v>
      </c>
      <c r="E32" s="343">
        <f>C32*D32</f>
        <v>135.69999999999999</v>
      </c>
      <c r="F32" s="2"/>
      <c r="G32" s="2"/>
      <c r="H32" s="2"/>
      <c r="I32" s="2"/>
      <c r="J32" s="2"/>
      <c r="K32" s="2"/>
      <c r="L32" s="56"/>
      <c r="M32" s="56"/>
      <c r="N32" s="56"/>
      <c r="O32" s="56"/>
      <c r="P32" s="56"/>
      <c r="Q32" s="56"/>
      <c r="R32" s="56"/>
      <c r="S32" s="56"/>
      <c r="T32" s="56"/>
    </row>
    <row r="33" spans="1:20" ht="14.25" customHeight="1" x14ac:dyDescent="0.2">
      <c r="A33" s="312" t="s">
        <v>15</v>
      </c>
      <c r="B33" s="11"/>
      <c r="C33" s="112"/>
      <c r="D33" s="140">
        <v>0</v>
      </c>
      <c r="E33" s="343">
        <f t="shared" ref="E33:E35" si="0">C33*D33</f>
        <v>0</v>
      </c>
      <c r="F33" s="2"/>
      <c r="G33" s="2"/>
      <c r="H33" s="2"/>
      <c r="I33" s="2"/>
      <c r="J33" s="2"/>
      <c r="K33" s="2"/>
      <c r="L33" s="56"/>
      <c r="M33" s="56"/>
      <c r="N33" s="56"/>
      <c r="O33" s="56"/>
      <c r="P33" s="56"/>
      <c r="Q33" s="56"/>
      <c r="R33" s="56"/>
      <c r="S33" s="56"/>
      <c r="T33" s="56"/>
    </row>
    <row r="34" spans="1:20" ht="13.5" customHeight="1" x14ac:dyDescent="0.2">
      <c r="A34" s="312" t="s">
        <v>16</v>
      </c>
      <c r="B34" s="11"/>
      <c r="C34" s="112"/>
      <c r="D34" s="140">
        <v>0</v>
      </c>
      <c r="E34" s="343">
        <f t="shared" si="0"/>
        <v>0</v>
      </c>
      <c r="F34" s="2"/>
      <c r="G34" s="117"/>
      <c r="H34" s="118"/>
      <c r="I34" s="118"/>
      <c r="J34" s="99"/>
      <c r="K34" s="108"/>
      <c r="L34" s="108"/>
    </row>
    <row r="35" spans="1:20" ht="14.25" customHeight="1" x14ac:dyDescent="0.2">
      <c r="A35" s="313" t="s">
        <v>17</v>
      </c>
      <c r="B35" s="11"/>
      <c r="C35" s="112"/>
      <c r="D35" s="140">
        <v>0</v>
      </c>
      <c r="E35" s="344">
        <f t="shared" si="0"/>
        <v>0</v>
      </c>
      <c r="F35" s="2"/>
      <c r="G35" s="27"/>
      <c r="H35" s="10"/>
      <c r="I35" s="10"/>
      <c r="J35" s="10"/>
      <c r="K35" s="10"/>
      <c r="M35" s="56"/>
    </row>
    <row r="36" spans="1:20" ht="14.25" customHeight="1" x14ac:dyDescent="0.2">
      <c r="A36" s="289" t="s">
        <v>281</v>
      </c>
      <c r="B36" s="11"/>
      <c r="C36" s="65"/>
      <c r="D36" s="145"/>
      <c r="E36" s="300">
        <v>0</v>
      </c>
      <c r="F36" s="2"/>
      <c r="G36" s="27"/>
      <c r="H36" s="10"/>
      <c r="I36" s="10"/>
      <c r="J36" s="10"/>
      <c r="K36" s="10"/>
      <c r="M36" s="56"/>
    </row>
    <row r="37" spans="1:20" ht="14.25" customHeight="1" x14ac:dyDescent="0.2">
      <c r="A37" s="130" t="s">
        <v>136</v>
      </c>
      <c r="B37" s="129"/>
      <c r="C37" s="65"/>
      <c r="D37" s="145"/>
      <c r="E37" s="307">
        <v>0</v>
      </c>
      <c r="F37" s="2"/>
      <c r="G37" s="27"/>
      <c r="H37" s="10"/>
      <c r="I37" s="10"/>
      <c r="J37" s="10"/>
      <c r="K37" s="10"/>
      <c r="M37" s="56"/>
    </row>
    <row r="38" spans="1:20" ht="14.25" x14ac:dyDescent="0.25">
      <c r="A38" s="51"/>
      <c r="B38" s="11"/>
      <c r="C38" s="12" t="s">
        <v>194</v>
      </c>
      <c r="D38" s="318" t="s">
        <v>266</v>
      </c>
      <c r="E38" s="74"/>
      <c r="F38" s="2"/>
      <c r="G38" s="109"/>
      <c r="H38" s="13"/>
      <c r="I38" s="10"/>
      <c r="J38" s="13"/>
      <c r="K38" s="13"/>
      <c r="L38" s="42"/>
      <c r="M38" s="56"/>
    </row>
    <row r="39" spans="1:20" x14ac:dyDescent="0.2">
      <c r="A39" s="314" t="s">
        <v>193</v>
      </c>
      <c r="C39" s="112">
        <v>0</v>
      </c>
      <c r="D39" s="300">
        <v>0</v>
      </c>
      <c r="E39" s="345">
        <f t="shared" ref="E39" si="1">C39*D39</f>
        <v>0</v>
      </c>
      <c r="F39" s="2"/>
      <c r="G39" s="89"/>
      <c r="H39" s="10"/>
      <c r="I39" s="13"/>
      <c r="J39" s="13"/>
      <c r="K39" s="13"/>
      <c r="L39" s="42"/>
    </row>
    <row r="40" spans="1:20" ht="14.25" customHeight="1" x14ac:dyDescent="0.25">
      <c r="A40" s="61"/>
      <c r="B40" s="11"/>
      <c r="C40" s="310" t="s">
        <v>195</v>
      </c>
      <c r="D40" s="318" t="s">
        <v>265</v>
      </c>
      <c r="E40" s="74"/>
      <c r="F40" s="2"/>
      <c r="G40" s="14"/>
      <c r="H40" s="10"/>
      <c r="I40" s="13"/>
      <c r="J40" s="13"/>
      <c r="K40" s="100"/>
      <c r="L40" s="42"/>
      <c r="M40" s="56"/>
      <c r="N40" s="56"/>
      <c r="O40" s="56"/>
      <c r="P40" s="56"/>
      <c r="Q40" s="56"/>
    </row>
    <row r="41" spans="1:20" ht="14.25" customHeight="1" x14ac:dyDescent="0.2">
      <c r="A41" s="315" t="s">
        <v>13</v>
      </c>
      <c r="C41" s="112">
        <v>100</v>
      </c>
      <c r="D41" s="140">
        <v>0.71</v>
      </c>
      <c r="E41" s="343">
        <f>C41*D41</f>
        <v>71</v>
      </c>
      <c r="F41" s="2"/>
      <c r="G41" s="117"/>
      <c r="H41" s="118"/>
      <c r="I41" s="119"/>
      <c r="J41" s="119"/>
      <c r="K41" s="98"/>
      <c r="L41" s="99"/>
    </row>
    <row r="42" spans="1:20" ht="14.25" customHeight="1" x14ac:dyDescent="0.2">
      <c r="A42" s="6"/>
      <c r="B42" s="2"/>
      <c r="C42" s="19"/>
      <c r="D42" s="2"/>
      <c r="E42" s="2"/>
      <c r="F42" s="2"/>
      <c r="G42" s="14"/>
      <c r="H42" s="3"/>
      <c r="I42" s="3"/>
      <c r="J42" s="3"/>
      <c r="K42" s="3"/>
      <c r="L42" s="3"/>
    </row>
    <row r="43" spans="1:20" ht="14.25" customHeight="1" x14ac:dyDescent="0.2">
      <c r="A43" s="289" t="s">
        <v>133</v>
      </c>
      <c r="B43" s="11"/>
      <c r="C43" s="16"/>
      <c r="D43" s="17"/>
      <c r="E43" s="140">
        <v>0</v>
      </c>
      <c r="F43" s="2"/>
      <c r="G43" s="27"/>
      <c r="H43" s="10"/>
      <c r="I43" s="10"/>
      <c r="J43" s="10"/>
      <c r="K43" s="10"/>
      <c r="L43" s="10"/>
    </row>
    <row r="44" spans="1:20" ht="14.25" customHeight="1" x14ac:dyDescent="0.2">
      <c r="A44" s="238"/>
      <c r="B44" s="11"/>
      <c r="C44" s="16"/>
      <c r="D44" s="17"/>
      <c r="E44" s="156"/>
      <c r="F44" s="2"/>
      <c r="G44" s="27"/>
      <c r="H44" s="10"/>
      <c r="I44" s="10"/>
      <c r="J44" s="10"/>
      <c r="K44" s="10"/>
      <c r="L44" s="10"/>
    </row>
    <row r="45" spans="1:20" ht="14.25" customHeight="1" x14ac:dyDescent="0.2">
      <c r="A45" s="289" t="s">
        <v>7</v>
      </c>
      <c r="B45" s="11"/>
      <c r="C45" s="16"/>
      <c r="D45" s="17"/>
      <c r="E45" s="140">
        <v>0</v>
      </c>
      <c r="F45" s="2"/>
      <c r="G45" s="27"/>
      <c r="H45" s="10"/>
      <c r="I45" s="10"/>
      <c r="J45" s="10"/>
      <c r="K45" s="10"/>
      <c r="L45" s="10"/>
    </row>
    <row r="46" spans="1:20" ht="14.25" customHeight="1" x14ac:dyDescent="0.2">
      <c r="A46" s="289"/>
      <c r="B46" s="11"/>
      <c r="C46" s="16"/>
      <c r="D46" s="17"/>
      <c r="E46" s="140">
        <v>0</v>
      </c>
      <c r="F46" s="2"/>
      <c r="G46" s="27"/>
      <c r="H46" s="10"/>
      <c r="I46" s="10"/>
      <c r="J46" s="10"/>
      <c r="K46" s="10"/>
      <c r="L46" s="10"/>
    </row>
    <row r="47" spans="1:20" ht="14.25" customHeight="1" x14ac:dyDescent="0.2">
      <c r="A47" s="289"/>
      <c r="B47" s="11"/>
      <c r="C47" s="16"/>
      <c r="D47" s="17"/>
      <c r="E47" s="140">
        <v>0</v>
      </c>
      <c r="F47" s="2"/>
      <c r="G47" s="27"/>
      <c r="H47" s="10"/>
      <c r="I47" s="10"/>
      <c r="J47" s="10"/>
      <c r="K47" s="10"/>
      <c r="L47" s="10"/>
    </row>
    <row r="48" spans="1:20" ht="14.25" customHeight="1" x14ac:dyDescent="0.2">
      <c r="A48" s="52" t="s">
        <v>248</v>
      </c>
      <c r="B48" s="155"/>
      <c r="C48" s="316" t="s">
        <v>189</v>
      </c>
      <c r="D48" s="85" t="s">
        <v>256</v>
      </c>
      <c r="E48" s="17"/>
      <c r="F48" s="2"/>
      <c r="G48" s="27"/>
      <c r="H48" s="10"/>
      <c r="I48" s="10"/>
      <c r="J48" s="10"/>
      <c r="K48" s="10"/>
      <c r="L48" s="10"/>
    </row>
    <row r="49" spans="1:23" ht="14.25" customHeight="1" x14ac:dyDescent="0.2">
      <c r="A49" s="289" t="s">
        <v>89</v>
      </c>
      <c r="B49" s="20"/>
      <c r="C49" s="112">
        <v>1</v>
      </c>
      <c r="D49" s="140">
        <v>8</v>
      </c>
      <c r="E49" s="343">
        <f>D49*C49</f>
        <v>8</v>
      </c>
      <c r="F49" s="2"/>
      <c r="G49" s="27"/>
      <c r="H49" s="10"/>
      <c r="I49" s="10"/>
      <c r="J49" s="10"/>
      <c r="K49" s="10"/>
      <c r="L49" s="10"/>
    </row>
    <row r="50" spans="1:23" ht="14.25" customHeight="1" x14ac:dyDescent="0.2">
      <c r="A50" s="289"/>
      <c r="B50" s="20"/>
      <c r="C50" s="112"/>
      <c r="D50" s="140">
        <v>0</v>
      </c>
      <c r="E50" s="343">
        <f t="shared" ref="E50:E51" si="2">D50*C50</f>
        <v>0</v>
      </c>
      <c r="F50" s="2"/>
      <c r="G50" s="27"/>
      <c r="H50" s="10"/>
      <c r="I50" s="10"/>
      <c r="J50" s="10"/>
      <c r="K50" s="10"/>
      <c r="L50" s="10"/>
    </row>
    <row r="51" spans="1:23" ht="14.25" customHeight="1" x14ac:dyDescent="0.2">
      <c r="A51" s="289" t="s">
        <v>90</v>
      </c>
      <c r="B51" s="20"/>
      <c r="C51" s="112"/>
      <c r="D51" s="140">
        <v>0</v>
      </c>
      <c r="E51" s="343">
        <f t="shared" si="2"/>
        <v>0</v>
      </c>
      <c r="F51" s="2"/>
      <c r="G51" s="27"/>
      <c r="H51" s="10"/>
      <c r="I51" s="10"/>
      <c r="J51" s="10"/>
      <c r="K51" s="10"/>
      <c r="L51" s="10"/>
    </row>
    <row r="52" spans="1:23" ht="14.25" customHeight="1" x14ac:dyDescent="0.2">
      <c r="A52" s="52"/>
      <c r="B52" s="11"/>
      <c r="C52" s="16"/>
      <c r="D52" s="17"/>
      <c r="E52" s="17"/>
      <c r="F52" s="2"/>
      <c r="G52" s="27"/>
      <c r="H52" s="10"/>
      <c r="I52" s="10"/>
      <c r="J52" s="10"/>
      <c r="K52" s="10"/>
      <c r="L52" s="10"/>
    </row>
    <row r="53" spans="1:23" x14ac:dyDescent="0.2">
      <c r="A53" s="6"/>
      <c r="B53" s="12" t="s">
        <v>196</v>
      </c>
      <c r="C53" s="12" t="s">
        <v>264</v>
      </c>
      <c r="D53" s="85" t="s">
        <v>240</v>
      </c>
      <c r="E53" s="85" t="s">
        <v>241</v>
      </c>
      <c r="F53" s="2"/>
    </row>
    <row r="54" spans="1:23" x14ac:dyDescent="0.2">
      <c r="A54" s="252" t="s">
        <v>245</v>
      </c>
      <c r="B54" s="301">
        <v>3</v>
      </c>
      <c r="C54" s="113">
        <v>3</v>
      </c>
      <c r="D54" s="183">
        <v>29</v>
      </c>
      <c r="E54" s="343">
        <f>(D54*C54)/B54</f>
        <v>29</v>
      </c>
      <c r="F54" s="2"/>
      <c r="H54" s="126"/>
      <c r="I54" s="56"/>
      <c r="J54" s="56"/>
      <c r="K54" s="56"/>
      <c r="L54" s="56"/>
      <c r="M54" s="56"/>
      <c r="N54" s="56"/>
      <c r="O54" s="56"/>
      <c r="P54" s="56"/>
      <c r="Q54" s="56"/>
      <c r="R54" s="56"/>
      <c r="S54" s="56"/>
    </row>
    <row r="55" spans="1:23" x14ac:dyDescent="0.2">
      <c r="A55" s="31"/>
      <c r="B55" s="185"/>
      <c r="C55" s="184"/>
      <c r="D55" s="85" t="s">
        <v>241</v>
      </c>
      <c r="E55" s="156"/>
      <c r="F55" s="2"/>
      <c r="H55" s="126"/>
      <c r="I55" s="56"/>
      <c r="J55" s="56"/>
      <c r="K55" s="56"/>
      <c r="L55" s="56"/>
      <c r="M55" s="56"/>
      <c r="N55" s="56"/>
      <c r="O55" s="56"/>
      <c r="P55" s="56"/>
      <c r="Q55" s="56"/>
      <c r="R55" s="56"/>
      <c r="S55" s="56"/>
    </row>
    <row r="56" spans="1:23" x14ac:dyDescent="0.2">
      <c r="A56" s="143" t="s">
        <v>98</v>
      </c>
      <c r="B56" s="20"/>
      <c r="C56" s="182"/>
      <c r="D56" s="183">
        <v>34.5</v>
      </c>
      <c r="E56" s="343">
        <f>D56/B54</f>
        <v>11.5</v>
      </c>
      <c r="F56" s="2"/>
      <c r="H56" s="126"/>
      <c r="I56" s="56"/>
      <c r="J56" s="56"/>
      <c r="K56" s="56"/>
      <c r="L56" s="56"/>
      <c r="M56" s="56"/>
      <c r="N56" s="56"/>
      <c r="O56" s="56"/>
      <c r="P56" s="56"/>
      <c r="Q56" s="56"/>
      <c r="R56" s="56"/>
      <c r="S56" s="56"/>
    </row>
    <row r="57" spans="1:23" x14ac:dyDescent="0.2">
      <c r="A57" s="31"/>
      <c r="B57" s="133"/>
      <c r="C57" s="135"/>
      <c r="D57" s="3"/>
      <c r="E57" s="85" t="s">
        <v>241</v>
      </c>
      <c r="F57" s="2"/>
      <c r="H57" s="126"/>
      <c r="I57" s="56"/>
      <c r="J57" s="56"/>
      <c r="K57" s="56"/>
      <c r="L57" s="56"/>
      <c r="M57" s="56"/>
      <c r="N57" s="56"/>
      <c r="O57" s="56"/>
      <c r="P57" s="56"/>
      <c r="Q57" s="56"/>
      <c r="R57" s="56"/>
      <c r="S57" s="56"/>
    </row>
    <row r="58" spans="1:23" x14ac:dyDescent="0.2">
      <c r="A58" s="229" t="s">
        <v>198</v>
      </c>
      <c r="B58" s="230"/>
      <c r="C58" s="230"/>
      <c r="D58" s="230"/>
      <c r="E58" s="341">
        <f>SUM(E22:E57)</f>
        <v>284.17937499999999</v>
      </c>
      <c r="F58" s="2"/>
      <c r="G58" s="52"/>
      <c r="H58" s="52"/>
      <c r="I58" s="56"/>
      <c r="J58" s="56"/>
      <c r="K58" s="56"/>
      <c r="L58" s="56"/>
      <c r="M58" s="56"/>
      <c r="N58" s="56"/>
      <c r="O58" s="56"/>
      <c r="P58" s="56"/>
      <c r="Q58" s="56"/>
      <c r="R58" s="56"/>
      <c r="S58" s="56"/>
    </row>
    <row r="59" spans="1:23" x14ac:dyDescent="0.2">
      <c r="A59" s="166" t="s">
        <v>94</v>
      </c>
      <c r="B59" s="146"/>
      <c r="C59" s="146"/>
      <c r="D59" s="146"/>
      <c r="E59" s="146"/>
      <c r="F59" s="146"/>
      <c r="G59" s="52"/>
      <c r="H59" s="52"/>
      <c r="I59" s="56"/>
      <c r="J59" s="56"/>
      <c r="K59" s="56"/>
      <c r="L59" s="56"/>
      <c r="M59" s="56"/>
      <c r="N59" s="56"/>
      <c r="O59" s="56"/>
      <c r="P59" s="56"/>
      <c r="Q59" s="56"/>
      <c r="R59" s="56"/>
      <c r="S59" s="56"/>
    </row>
    <row r="60" spans="1:23" x14ac:dyDescent="0.2">
      <c r="A60" s="26"/>
      <c r="B60" s="7"/>
      <c r="C60" s="317" t="s">
        <v>260</v>
      </c>
      <c r="D60" s="317" t="s">
        <v>282</v>
      </c>
      <c r="E60" s="85" t="s">
        <v>241</v>
      </c>
      <c r="F60" s="2"/>
      <c r="G60" s="52"/>
      <c r="H60" s="52"/>
      <c r="I60" s="56"/>
      <c r="J60" s="56"/>
      <c r="K60" s="56"/>
      <c r="L60" s="56"/>
      <c r="M60" s="56"/>
      <c r="N60" s="56"/>
      <c r="O60" s="56"/>
      <c r="P60" s="56"/>
      <c r="Q60" s="56"/>
      <c r="R60" s="56"/>
      <c r="S60" s="56"/>
    </row>
    <row r="61" spans="1:23" x14ac:dyDescent="0.2">
      <c r="A61" s="27" t="s">
        <v>1</v>
      </c>
      <c r="B61" s="63"/>
      <c r="C61" s="302">
        <v>35000</v>
      </c>
      <c r="D61" s="254">
        <v>250</v>
      </c>
      <c r="E61" s="343">
        <f>+D61*(C61/80000)</f>
        <v>109.375</v>
      </c>
      <c r="F61" s="2"/>
      <c r="G61" s="53"/>
      <c r="H61" s="127"/>
      <c r="I61" s="58"/>
      <c r="J61" s="58"/>
      <c r="K61" s="58"/>
      <c r="L61" s="56"/>
      <c r="M61" s="56"/>
      <c r="N61" s="56"/>
      <c r="O61" s="56"/>
      <c r="P61" s="56"/>
      <c r="Q61" s="56"/>
      <c r="R61" s="56"/>
      <c r="S61" s="56"/>
    </row>
    <row r="62" spans="1:23" x14ac:dyDescent="0.2">
      <c r="A62" s="27"/>
      <c r="B62" s="9"/>
      <c r="C62" s="310" t="s">
        <v>261</v>
      </c>
      <c r="D62" s="317" t="s">
        <v>262</v>
      </c>
      <c r="E62" s="85" t="s">
        <v>241</v>
      </c>
      <c r="F62" s="2"/>
      <c r="G62" s="56"/>
      <c r="H62" s="56"/>
      <c r="I62" s="58"/>
      <c r="J62" s="58"/>
      <c r="K62" s="58"/>
      <c r="L62" s="56"/>
      <c r="M62" s="56"/>
      <c r="N62" s="56"/>
      <c r="O62" s="56"/>
      <c r="P62" s="56"/>
      <c r="Q62" s="56"/>
      <c r="R62" s="56"/>
      <c r="S62" s="56"/>
      <c r="T62" s="56"/>
      <c r="U62" s="56"/>
      <c r="V62" s="56"/>
      <c r="W62" s="56"/>
    </row>
    <row r="63" spans="1:23" x14ac:dyDescent="0.2">
      <c r="A63" s="76" t="s">
        <v>81</v>
      </c>
      <c r="B63" s="77"/>
      <c r="C63" s="306">
        <v>0</v>
      </c>
      <c r="D63" s="255"/>
      <c r="E63" s="565">
        <f>D63*C63</f>
        <v>0</v>
      </c>
      <c r="F63" s="2"/>
      <c r="G63" s="56"/>
      <c r="H63" s="56"/>
      <c r="I63" s="58"/>
      <c r="J63" s="58"/>
      <c r="K63" s="58"/>
      <c r="L63" s="56"/>
      <c r="M63" s="56"/>
      <c r="N63" s="56"/>
      <c r="O63" s="56"/>
      <c r="P63" s="56"/>
      <c r="Q63" s="56"/>
      <c r="R63" s="56"/>
      <c r="S63" s="56"/>
      <c r="T63" s="56"/>
      <c r="U63" s="56"/>
      <c r="V63" s="56"/>
      <c r="W63" s="56"/>
    </row>
    <row r="64" spans="1:23" x14ac:dyDescent="0.2">
      <c r="A64" s="76"/>
      <c r="B64" s="77"/>
      <c r="C64" s="566" t="s">
        <v>299</v>
      </c>
      <c r="D64" s="567" t="s">
        <v>262</v>
      </c>
      <c r="E64" s="322" t="s">
        <v>241</v>
      </c>
      <c r="F64" s="2"/>
      <c r="G64" s="56"/>
      <c r="H64" s="56"/>
      <c r="I64" s="58"/>
      <c r="J64" s="58"/>
      <c r="K64" s="58"/>
      <c r="L64" s="56"/>
      <c r="M64" s="56"/>
      <c r="N64" s="56"/>
      <c r="O64" s="56"/>
      <c r="P64" s="56"/>
      <c r="Q64" s="56"/>
      <c r="R64" s="56"/>
      <c r="S64" s="56"/>
      <c r="T64" s="56"/>
      <c r="U64" s="56"/>
      <c r="V64" s="56"/>
      <c r="W64" s="56"/>
    </row>
    <row r="65" spans="1:23" x14ac:dyDescent="0.2">
      <c r="A65" s="76" t="s">
        <v>81</v>
      </c>
      <c r="B65" s="77"/>
      <c r="C65" s="240"/>
      <c r="D65" s="254"/>
      <c r="E65" s="565">
        <f>D65*C65</f>
        <v>0</v>
      </c>
      <c r="F65" s="2"/>
      <c r="G65" s="56"/>
      <c r="H65" s="56"/>
      <c r="I65" s="58"/>
      <c r="J65" s="58"/>
      <c r="K65" s="58"/>
      <c r="L65" s="56"/>
      <c r="M65" s="56"/>
      <c r="N65" s="56"/>
      <c r="O65" s="56"/>
      <c r="P65" s="56"/>
      <c r="Q65" s="56"/>
      <c r="R65" s="56"/>
      <c r="S65" s="56"/>
      <c r="T65" s="56"/>
      <c r="U65" s="56"/>
      <c r="V65" s="56"/>
      <c r="W65" s="56"/>
    </row>
    <row r="66" spans="1:23" x14ac:dyDescent="0.2">
      <c r="A66" s="215" t="s">
        <v>197</v>
      </c>
      <c r="B66" s="222"/>
      <c r="C66" s="227"/>
      <c r="D66" s="228"/>
      <c r="E66" s="347">
        <f>E61+E63+E65</f>
        <v>109.375</v>
      </c>
      <c r="F66" s="2"/>
      <c r="G66" s="56"/>
      <c r="H66" s="56"/>
      <c r="I66" s="58"/>
      <c r="J66" s="58"/>
      <c r="K66" s="58"/>
      <c r="L66" s="56"/>
      <c r="M66" s="56"/>
      <c r="N66" s="56"/>
      <c r="O66" s="56"/>
      <c r="P66" s="56"/>
      <c r="Q66" s="56"/>
      <c r="R66" s="56"/>
      <c r="S66" s="56"/>
      <c r="T66" s="56"/>
      <c r="U66" s="56"/>
      <c r="V66" s="56"/>
      <c r="W66" s="56"/>
    </row>
    <row r="67" spans="1:23" x14ac:dyDescent="0.2">
      <c r="A67" s="164" t="s">
        <v>92</v>
      </c>
      <c r="B67" s="160"/>
      <c r="C67" s="161"/>
      <c r="D67" s="162"/>
      <c r="E67" s="214"/>
      <c r="F67" s="146"/>
      <c r="G67" s="58"/>
      <c r="H67" s="58"/>
      <c r="I67" s="58"/>
      <c r="J67" s="58"/>
      <c r="K67" s="58"/>
      <c r="L67" s="56"/>
      <c r="M67" s="56"/>
      <c r="N67" s="56"/>
      <c r="O67" s="56"/>
      <c r="P67" s="56"/>
      <c r="Q67" s="56"/>
      <c r="R67" s="56"/>
      <c r="S67" s="56"/>
    </row>
    <row r="68" spans="1:23" x14ac:dyDescent="0.2">
      <c r="A68" s="165" t="s">
        <v>2</v>
      </c>
      <c r="B68" s="7"/>
      <c r="C68" s="233"/>
      <c r="D68" s="131"/>
      <c r="E68" s="85" t="s">
        <v>241</v>
      </c>
      <c r="F68" s="2"/>
      <c r="G68" s="50"/>
      <c r="H68" s="128"/>
      <c r="I68" s="58"/>
      <c r="J68" s="58"/>
      <c r="K68" s="58"/>
      <c r="L68" s="56"/>
      <c r="M68" s="56"/>
      <c r="N68" s="56"/>
      <c r="O68" s="56"/>
      <c r="P68" s="56"/>
      <c r="Q68" s="56"/>
      <c r="R68" s="56"/>
      <c r="S68" s="56"/>
    </row>
    <row r="69" spans="1:23" x14ac:dyDescent="0.2">
      <c r="A69" s="246" t="s">
        <v>126</v>
      </c>
      <c r="B69" s="7"/>
      <c r="C69" s="233"/>
      <c r="D69" s="131"/>
      <c r="E69" s="303"/>
      <c r="F69" s="2"/>
      <c r="G69" s="50"/>
      <c r="H69" s="128"/>
      <c r="I69" s="58"/>
      <c r="J69" s="58"/>
      <c r="K69" s="58"/>
      <c r="L69" s="56"/>
      <c r="M69" s="56"/>
      <c r="N69" s="56"/>
      <c r="O69" s="56"/>
      <c r="P69" s="56"/>
      <c r="Q69" s="56"/>
      <c r="R69" s="56"/>
      <c r="S69" s="56"/>
    </row>
    <row r="70" spans="1:23" x14ac:dyDescent="0.2">
      <c r="A70" s="251" t="s">
        <v>99</v>
      </c>
      <c r="B70" s="7"/>
      <c r="C70" s="233"/>
      <c r="D70" s="131"/>
      <c r="E70" s="140"/>
      <c r="F70" s="2"/>
      <c r="G70" s="50"/>
      <c r="H70" s="128"/>
      <c r="I70" s="58"/>
      <c r="J70" s="58"/>
      <c r="K70" s="58"/>
      <c r="L70" s="56"/>
      <c r="M70" s="56"/>
      <c r="N70" s="56"/>
      <c r="O70" s="56"/>
      <c r="P70" s="56"/>
      <c r="Q70" s="56"/>
      <c r="R70" s="56"/>
      <c r="S70" s="56"/>
    </row>
    <row r="71" spans="1:23" x14ac:dyDescent="0.2">
      <c r="A71" s="246" t="s">
        <v>127</v>
      </c>
      <c r="B71" s="7"/>
      <c r="C71" s="16"/>
      <c r="D71" s="234"/>
      <c r="E71" s="140"/>
      <c r="F71" s="2"/>
      <c r="G71" s="50"/>
      <c r="H71" s="128"/>
      <c r="I71" s="58"/>
      <c r="J71" s="58"/>
      <c r="K71" s="58"/>
      <c r="L71" s="56"/>
      <c r="M71" s="56"/>
      <c r="N71" s="56"/>
      <c r="O71" s="56"/>
      <c r="P71" s="56"/>
      <c r="Q71" s="56"/>
      <c r="R71" s="56"/>
      <c r="S71" s="56"/>
    </row>
    <row r="72" spans="1:23" x14ac:dyDescent="0.2">
      <c r="A72" s="251" t="s">
        <v>99</v>
      </c>
      <c r="B72" s="7"/>
      <c r="C72" s="16"/>
      <c r="D72" s="234"/>
      <c r="E72" s="140"/>
      <c r="F72" s="2"/>
      <c r="G72" s="50"/>
      <c r="H72" s="128"/>
      <c r="I72" s="58"/>
      <c r="J72" s="58"/>
      <c r="K72" s="58"/>
      <c r="L72" s="56"/>
      <c r="M72" s="56"/>
      <c r="N72" s="56"/>
      <c r="O72" s="56"/>
      <c r="P72" s="56"/>
      <c r="Q72" s="56"/>
      <c r="R72" s="56"/>
      <c r="S72" s="56"/>
    </row>
    <row r="73" spans="1:23" x14ac:dyDescent="0.2">
      <c r="A73" s="246" t="s">
        <v>128</v>
      </c>
      <c r="B73" s="7"/>
      <c r="C73" s="16"/>
      <c r="D73" s="234"/>
      <c r="E73" s="140">
        <v>40</v>
      </c>
      <c r="F73" s="2"/>
      <c r="G73" s="50"/>
      <c r="H73" s="128"/>
      <c r="I73" s="58"/>
      <c r="J73" s="58"/>
      <c r="K73" s="58"/>
      <c r="L73" s="56"/>
      <c r="M73" s="56"/>
      <c r="N73" s="56"/>
      <c r="O73" s="56"/>
      <c r="P73" s="56"/>
      <c r="Q73" s="56"/>
      <c r="R73" s="56"/>
      <c r="S73" s="56"/>
    </row>
    <row r="74" spans="1:23" x14ac:dyDescent="0.2">
      <c r="A74" s="251" t="s">
        <v>99</v>
      </c>
      <c r="B74" s="7"/>
      <c r="C74" s="16"/>
      <c r="D74" s="234"/>
      <c r="E74" s="140">
        <v>8</v>
      </c>
      <c r="F74" s="2"/>
      <c r="G74" s="50"/>
      <c r="H74" s="128"/>
      <c r="I74" s="58"/>
      <c r="J74" s="58"/>
      <c r="K74" s="58"/>
      <c r="L74" s="56"/>
      <c r="M74" s="56"/>
      <c r="N74" s="56"/>
      <c r="O74" s="56"/>
      <c r="P74" s="56"/>
      <c r="Q74" s="56"/>
      <c r="R74" s="56"/>
      <c r="S74" s="56"/>
    </row>
    <row r="75" spans="1:23" x14ac:dyDescent="0.2">
      <c r="A75" s="212" t="s">
        <v>129</v>
      </c>
      <c r="B75" s="5"/>
      <c r="C75" s="65"/>
      <c r="D75" s="235"/>
      <c r="E75" s="140"/>
      <c r="F75" s="2"/>
      <c r="G75" s="49"/>
      <c r="H75" s="49"/>
      <c r="I75" s="58"/>
      <c r="J75" s="58"/>
      <c r="K75" s="58"/>
      <c r="L75" s="56"/>
      <c r="M75" s="56"/>
      <c r="N75" s="56"/>
      <c r="O75" s="56"/>
      <c r="P75" s="56"/>
      <c r="Q75" s="56"/>
      <c r="R75" s="56"/>
      <c r="S75" s="56"/>
    </row>
    <row r="76" spans="1:23" x14ac:dyDescent="0.2">
      <c r="A76" s="59" t="s">
        <v>99</v>
      </c>
      <c r="B76" s="5"/>
      <c r="C76" s="65"/>
      <c r="D76" s="235"/>
      <c r="E76" s="140"/>
      <c r="F76" s="2"/>
      <c r="G76" s="62"/>
      <c r="H76" s="62"/>
      <c r="I76" s="56"/>
      <c r="J76" s="56"/>
      <c r="K76" s="56"/>
      <c r="L76" s="56"/>
      <c r="M76" s="56"/>
      <c r="N76" s="56"/>
      <c r="O76" s="56"/>
      <c r="P76" s="56"/>
      <c r="Q76" s="56"/>
      <c r="R76" s="56"/>
      <c r="S76" s="56"/>
    </row>
    <row r="77" spans="1:23" x14ac:dyDescent="0.2">
      <c r="A77" s="165" t="s">
        <v>8</v>
      </c>
      <c r="B77" s="7"/>
      <c r="C77" s="16"/>
      <c r="D77" s="5"/>
      <c r="E77" s="254"/>
      <c r="F77" s="2"/>
      <c r="G77" s="2"/>
      <c r="H77" s="2"/>
      <c r="I77" s="2"/>
      <c r="J77" s="2"/>
      <c r="K77" s="2"/>
    </row>
    <row r="78" spans="1:23" x14ac:dyDescent="0.2">
      <c r="A78" s="252" t="s">
        <v>130</v>
      </c>
      <c r="B78" s="7"/>
      <c r="C78" s="16"/>
      <c r="D78" s="5"/>
      <c r="E78" s="254"/>
      <c r="F78" s="2"/>
      <c r="G78" s="2"/>
      <c r="H78" s="2"/>
      <c r="I78" s="2"/>
      <c r="J78" s="2"/>
      <c r="K78" s="2"/>
    </row>
    <row r="79" spans="1:23" x14ac:dyDescent="0.2">
      <c r="A79" s="245" t="s">
        <v>99</v>
      </c>
      <c r="B79" s="7"/>
      <c r="C79" s="16"/>
      <c r="D79" s="5"/>
      <c r="E79" s="254"/>
      <c r="F79" s="2"/>
      <c r="G79" s="2"/>
      <c r="H79" s="2"/>
      <c r="I79" s="2"/>
      <c r="J79" s="2"/>
      <c r="K79" s="2"/>
    </row>
    <row r="80" spans="1:23" x14ac:dyDescent="0.2">
      <c r="A80" s="212" t="s">
        <v>131</v>
      </c>
      <c r="B80" s="5"/>
      <c r="C80" s="65"/>
      <c r="D80" s="235"/>
      <c r="E80" s="140"/>
      <c r="F80" s="2"/>
      <c r="H80" s="58"/>
      <c r="I80" s="58"/>
      <c r="J80" s="58"/>
      <c r="K80" s="58"/>
      <c r="L80" s="56"/>
      <c r="M80" s="56"/>
      <c r="N80" s="56"/>
      <c r="O80" s="56"/>
    </row>
    <row r="81" spans="1:23" x14ac:dyDescent="0.2">
      <c r="A81" s="59" t="s">
        <v>99</v>
      </c>
      <c r="B81" s="5"/>
      <c r="C81" s="65"/>
      <c r="D81" s="235"/>
      <c r="E81" s="140"/>
      <c r="F81" s="2"/>
      <c r="G81" s="2"/>
      <c r="H81" s="58"/>
      <c r="I81" s="58"/>
      <c r="J81" s="58"/>
      <c r="K81" s="58"/>
      <c r="L81" s="56"/>
      <c r="M81" s="56"/>
      <c r="N81" s="56"/>
      <c r="O81" s="56"/>
    </row>
    <row r="82" spans="1:23" x14ac:dyDescent="0.2">
      <c r="A82" s="165" t="s">
        <v>12</v>
      </c>
      <c r="B82" s="7"/>
      <c r="C82" s="16"/>
      <c r="D82" s="5"/>
      <c r="E82" s="254"/>
      <c r="F82" s="2"/>
      <c r="G82" s="2"/>
      <c r="H82" s="58"/>
      <c r="I82" s="58"/>
      <c r="J82" s="58"/>
      <c r="K82" s="58"/>
      <c r="L82" s="56"/>
      <c r="M82" s="56"/>
      <c r="N82" s="56"/>
      <c r="O82" s="56"/>
    </row>
    <row r="83" spans="1:23" ht="13.5" customHeight="1" x14ac:dyDescent="0.2">
      <c r="A83" s="212" t="s">
        <v>132</v>
      </c>
      <c r="B83" s="5"/>
      <c r="C83" s="65"/>
      <c r="D83" s="235"/>
      <c r="E83" s="140"/>
      <c r="F83" s="2"/>
      <c r="G83" s="2"/>
      <c r="H83" s="62"/>
      <c r="I83" s="58"/>
      <c r="J83" s="58"/>
      <c r="K83" s="58"/>
      <c r="L83" s="56"/>
      <c r="M83" s="56"/>
      <c r="N83" s="56"/>
      <c r="O83" s="56"/>
    </row>
    <row r="84" spans="1:23" x14ac:dyDescent="0.2">
      <c r="A84" s="59" t="s">
        <v>99</v>
      </c>
      <c r="B84" s="5"/>
      <c r="C84" s="65"/>
      <c r="D84" s="235"/>
      <c r="E84" s="140"/>
      <c r="F84" s="2"/>
      <c r="G84" s="2"/>
      <c r="H84" s="58"/>
      <c r="I84" s="58"/>
      <c r="J84" s="58"/>
      <c r="K84" s="58"/>
      <c r="L84" s="56"/>
      <c r="M84" s="56"/>
      <c r="N84" s="56"/>
      <c r="O84" s="56"/>
    </row>
    <row r="85" spans="1:23" x14ac:dyDescent="0.2">
      <c r="A85" s="212" t="s">
        <v>30</v>
      </c>
      <c r="B85" s="5"/>
      <c r="C85" s="65"/>
      <c r="D85" s="235"/>
      <c r="E85" s="140"/>
      <c r="F85" s="2"/>
      <c r="G85" s="2"/>
      <c r="H85" s="58"/>
      <c r="I85" s="58"/>
      <c r="J85" s="58"/>
      <c r="K85" s="58"/>
      <c r="L85" s="56"/>
      <c r="M85" s="56"/>
      <c r="N85" s="56"/>
      <c r="O85" s="56"/>
      <c r="P85" s="56"/>
    </row>
    <row r="86" spans="1:23" x14ac:dyDescent="0.2">
      <c r="A86" s="212" t="s">
        <v>31</v>
      </c>
      <c r="B86" s="5"/>
      <c r="C86" s="65"/>
      <c r="D86" s="235"/>
      <c r="E86" s="140"/>
      <c r="F86" s="2"/>
      <c r="G86" s="2"/>
      <c r="H86" s="58"/>
      <c r="I86" s="58"/>
      <c r="J86" s="58"/>
      <c r="K86" s="58"/>
      <c r="L86" s="56"/>
      <c r="M86" s="56"/>
      <c r="N86" s="56"/>
      <c r="O86" s="56"/>
      <c r="P86" s="56"/>
    </row>
    <row r="87" spans="1:23" x14ac:dyDescent="0.2">
      <c r="A87" s="225" t="s">
        <v>199</v>
      </c>
      <c r="B87" s="226"/>
      <c r="C87" s="217"/>
      <c r="D87" s="236"/>
      <c r="E87" s="348">
        <f>SUM(E69:E86)</f>
        <v>48</v>
      </c>
      <c r="F87" s="2"/>
      <c r="G87" s="2"/>
      <c r="H87" s="58"/>
      <c r="I87" s="58"/>
      <c r="J87" s="58"/>
      <c r="K87" s="58"/>
      <c r="L87" s="56"/>
      <c r="M87" s="56"/>
      <c r="N87" s="56"/>
      <c r="O87" s="56"/>
      <c r="P87" s="56"/>
    </row>
    <row r="88" spans="1:23" x14ac:dyDescent="0.2">
      <c r="A88" s="196" t="s">
        <v>10</v>
      </c>
      <c r="B88" s="192"/>
      <c r="C88" s="193"/>
      <c r="D88" s="163"/>
      <c r="E88" s="194"/>
      <c r="F88" s="146"/>
      <c r="G88" s="2"/>
      <c r="H88" s="2"/>
      <c r="I88" s="2"/>
      <c r="J88" s="2"/>
      <c r="K88" s="2"/>
    </row>
    <row r="89" spans="1:23" x14ac:dyDescent="0.2">
      <c r="A89" s="213"/>
      <c r="B89" s="5"/>
      <c r="C89" s="16"/>
      <c r="D89" s="17"/>
      <c r="E89" s="85" t="s">
        <v>241</v>
      </c>
      <c r="F89" s="58"/>
      <c r="G89" s="2"/>
      <c r="H89" s="2"/>
      <c r="I89" s="2"/>
      <c r="J89" s="2"/>
      <c r="K89" s="2"/>
    </row>
    <row r="90" spans="1:23" x14ac:dyDescent="0.2">
      <c r="A90" s="212" t="s">
        <v>118</v>
      </c>
      <c r="B90" s="5"/>
      <c r="C90" s="65"/>
      <c r="D90" s="66"/>
      <c r="E90" s="140"/>
      <c r="F90" s="2"/>
      <c r="G90" s="2"/>
      <c r="H90" s="2"/>
      <c r="I90" s="2"/>
      <c r="J90" s="2"/>
      <c r="K90" s="2"/>
    </row>
    <row r="91" spans="1:23" x14ac:dyDescent="0.2">
      <c r="A91" s="212"/>
      <c r="B91" s="5"/>
      <c r="C91" s="320" t="s">
        <v>116</v>
      </c>
      <c r="D91" s="321" t="s">
        <v>258</v>
      </c>
      <c r="E91" s="85" t="s">
        <v>241</v>
      </c>
      <c r="F91" s="2"/>
      <c r="G91" s="2"/>
      <c r="H91" s="2"/>
      <c r="I91" s="2"/>
      <c r="J91" s="2"/>
      <c r="K91" s="2"/>
    </row>
    <row r="92" spans="1:23" x14ac:dyDescent="0.2">
      <c r="A92" s="29" t="s">
        <v>115</v>
      </c>
      <c r="B92" s="9"/>
      <c r="C92" s="219">
        <v>0</v>
      </c>
      <c r="D92" s="220">
        <v>5.5</v>
      </c>
      <c r="E92" s="344">
        <f>+C92*D92</f>
        <v>0</v>
      </c>
      <c r="F92" s="2"/>
      <c r="G92" s="2"/>
      <c r="H92" s="2"/>
      <c r="I92" s="2"/>
      <c r="J92" s="2"/>
      <c r="K92" s="2"/>
    </row>
    <row r="93" spans="1:23" x14ac:dyDescent="0.2">
      <c r="A93" s="221" t="s">
        <v>201</v>
      </c>
      <c r="B93" s="222"/>
      <c r="C93" s="223"/>
      <c r="D93" s="224"/>
      <c r="E93" s="348">
        <f>E92+E90</f>
        <v>0</v>
      </c>
      <c r="F93" s="2"/>
      <c r="G93" s="2"/>
      <c r="H93" s="2"/>
      <c r="I93" s="2"/>
      <c r="J93" s="2"/>
      <c r="K93" s="2"/>
    </row>
    <row r="94" spans="1:23" ht="15" x14ac:dyDescent="0.25">
      <c r="A94" s="164" t="s">
        <v>93</v>
      </c>
      <c r="B94" s="157"/>
      <c r="C94" s="158"/>
      <c r="D94" s="159"/>
      <c r="E94" s="159"/>
      <c r="F94" s="146"/>
      <c r="G94" s="56"/>
      <c r="H94" s="190"/>
      <c r="I94" s="58"/>
      <c r="J94" s="58"/>
      <c r="K94" s="58"/>
      <c r="L94" s="56"/>
      <c r="M94" s="56"/>
      <c r="N94" s="56"/>
      <c r="O94" s="56"/>
      <c r="P94" s="56"/>
      <c r="Q94" s="56"/>
      <c r="R94" s="56"/>
      <c r="S94" s="56"/>
      <c r="T94" s="56"/>
      <c r="U94" s="56"/>
      <c r="V94" s="56"/>
      <c r="W94" s="56"/>
    </row>
    <row r="95" spans="1:23" ht="13.5" customHeight="1" x14ac:dyDescent="0.2">
      <c r="A95" s="26"/>
      <c r="B95" s="7"/>
      <c r="C95" s="8"/>
      <c r="D95" s="132"/>
      <c r="E95" s="85" t="s">
        <v>241</v>
      </c>
      <c r="F95" s="2"/>
      <c r="H95" s="56"/>
      <c r="I95" s="56"/>
      <c r="J95" s="56"/>
      <c r="K95" s="56"/>
      <c r="L95" s="56"/>
      <c r="M95" s="56"/>
      <c r="N95" s="56"/>
      <c r="O95" s="56"/>
      <c r="P95" s="56"/>
      <c r="Q95" s="56"/>
      <c r="R95" s="56"/>
      <c r="S95" s="56"/>
    </row>
    <row r="96" spans="1:23" ht="13.5" customHeight="1" x14ac:dyDescent="0.2">
      <c r="A96" s="191" t="s">
        <v>233</v>
      </c>
      <c r="B96" s="7"/>
      <c r="C96" s="8"/>
      <c r="D96" s="132"/>
      <c r="E96" s="258">
        <v>185</v>
      </c>
      <c r="F96" s="2"/>
      <c r="H96" s="56"/>
      <c r="I96" s="56"/>
      <c r="J96" s="56"/>
      <c r="K96" s="56"/>
      <c r="L96" s="56"/>
      <c r="M96" s="56"/>
      <c r="N96" s="56"/>
      <c r="O96" s="56"/>
      <c r="P96" s="56"/>
      <c r="Q96" s="56"/>
      <c r="R96" s="56"/>
      <c r="S96" s="56"/>
    </row>
    <row r="97" spans="1:19" x14ac:dyDescent="0.2">
      <c r="A97" s="142" t="s">
        <v>28</v>
      </c>
      <c r="B97" s="7"/>
      <c r="C97" s="65"/>
      <c r="D97" s="66"/>
      <c r="E97" s="140">
        <v>30</v>
      </c>
      <c r="F97" s="2"/>
      <c r="G97" s="2"/>
      <c r="H97" s="58"/>
      <c r="I97" s="58"/>
      <c r="J97" s="58"/>
      <c r="K97" s="58"/>
      <c r="L97" s="56"/>
      <c r="M97" s="56"/>
      <c r="N97" s="56"/>
      <c r="O97" s="56"/>
      <c r="P97" s="56"/>
      <c r="Q97" s="56"/>
      <c r="R97" s="56"/>
      <c r="S97" s="56"/>
    </row>
    <row r="98" spans="1:19" x14ac:dyDescent="0.2">
      <c r="A98" s="142" t="s">
        <v>102</v>
      </c>
      <c r="B98" s="7"/>
      <c r="C98" s="65"/>
      <c r="D98" s="66"/>
      <c r="E98" s="140">
        <v>0</v>
      </c>
      <c r="F98" s="2"/>
      <c r="G98" s="2"/>
      <c r="H98" s="58"/>
      <c r="I98" s="58"/>
      <c r="J98" s="58"/>
      <c r="K98" s="58"/>
      <c r="L98" s="56"/>
      <c r="M98" s="56"/>
      <c r="N98" s="56"/>
      <c r="O98" s="56"/>
      <c r="P98" s="56"/>
      <c r="Q98" s="56"/>
      <c r="R98" s="56"/>
      <c r="S98" s="56"/>
    </row>
    <row r="99" spans="1:19" ht="15" x14ac:dyDescent="0.25">
      <c r="A99" s="142" t="s">
        <v>91</v>
      </c>
      <c r="B99" s="63" t="s">
        <v>234</v>
      </c>
      <c r="C99" s="65"/>
      <c r="D99" s="66"/>
      <c r="E99" s="140">
        <v>0</v>
      </c>
      <c r="F99" s="2"/>
      <c r="G99" s="2"/>
      <c r="H99" s="189"/>
      <c r="I99" s="13"/>
      <c r="J99" s="13"/>
      <c r="K99" s="13"/>
      <c r="L99" s="42"/>
      <c r="M99" s="42"/>
      <c r="N99" s="42"/>
      <c r="O99" s="42"/>
      <c r="P99" s="42"/>
      <c r="Q99" s="42"/>
      <c r="R99" s="42"/>
      <c r="S99" s="42"/>
    </row>
    <row r="100" spans="1:19" ht="15" x14ac:dyDescent="0.25">
      <c r="A100" s="188" t="s">
        <v>101</v>
      </c>
      <c r="B100" s="63"/>
      <c r="C100" s="65"/>
      <c r="D100" s="66"/>
      <c r="E100" s="281">
        <v>1.45</v>
      </c>
      <c r="F100" s="2"/>
      <c r="G100" s="2"/>
      <c r="H100" s="189"/>
      <c r="I100" s="13"/>
      <c r="J100" s="13"/>
      <c r="K100" s="13"/>
      <c r="L100" s="42"/>
      <c r="M100" s="42"/>
      <c r="N100" s="42"/>
      <c r="O100" s="42"/>
      <c r="P100" s="42"/>
      <c r="Q100" s="42"/>
      <c r="R100" s="42"/>
      <c r="S100" s="42"/>
    </row>
    <row r="101" spans="1:19" x14ac:dyDescent="0.2">
      <c r="A101" s="215" t="s">
        <v>202</v>
      </c>
      <c r="B101" s="216"/>
      <c r="C101" s="217"/>
      <c r="D101" s="218"/>
      <c r="E101" s="348">
        <f>SUM(E96:E100)</f>
        <v>216.45</v>
      </c>
      <c r="F101" s="2"/>
      <c r="G101" s="2"/>
      <c r="H101" s="58"/>
      <c r="I101" s="58"/>
      <c r="J101" s="58"/>
      <c r="K101" s="58"/>
      <c r="L101" s="56"/>
      <c r="M101" s="56"/>
      <c r="N101" s="56"/>
      <c r="O101" s="56"/>
      <c r="P101" s="56"/>
      <c r="Q101" s="56"/>
      <c r="R101" s="56"/>
      <c r="S101" s="56"/>
    </row>
    <row r="102" spans="1:19" x14ac:dyDescent="0.2">
      <c r="A102" s="144"/>
      <c r="B102" s="157"/>
      <c r="C102" s="202"/>
      <c r="D102" s="203"/>
      <c r="E102" s="198"/>
      <c r="F102" s="146"/>
      <c r="G102" s="2"/>
      <c r="H102" s="2"/>
      <c r="I102" s="2"/>
      <c r="J102" s="2"/>
      <c r="K102" s="2"/>
    </row>
    <row r="103" spans="1:19" x14ac:dyDescent="0.2">
      <c r="A103" s="22" t="s">
        <v>203</v>
      </c>
      <c r="B103" s="5"/>
      <c r="C103" s="16"/>
      <c r="D103" s="17"/>
      <c r="E103" s="348">
        <f>E58+E66+E87+E93+E101</f>
        <v>658.00437499999998</v>
      </c>
      <c r="F103" s="2"/>
      <c r="G103" s="2"/>
      <c r="H103" s="2"/>
      <c r="I103" s="2"/>
      <c r="J103" s="2"/>
      <c r="K103" s="2"/>
    </row>
    <row r="104" spans="1:19" x14ac:dyDescent="0.2">
      <c r="A104" s="22"/>
      <c r="B104" s="5"/>
      <c r="C104" s="16"/>
      <c r="D104" s="17"/>
      <c r="E104" s="186"/>
      <c r="F104" s="2"/>
      <c r="G104" s="2"/>
      <c r="H104" s="2"/>
      <c r="I104" s="2"/>
      <c r="J104" s="2"/>
      <c r="K104" s="2"/>
    </row>
    <row r="105" spans="1:19" x14ac:dyDescent="0.2">
      <c r="A105" s="195" t="s">
        <v>100</v>
      </c>
      <c r="B105" s="146"/>
      <c r="C105" s="187"/>
      <c r="D105" s="157"/>
      <c r="E105" s="146"/>
      <c r="F105" s="146"/>
    </row>
    <row r="106" spans="1:19" x14ac:dyDescent="0.2">
      <c r="A106" s="18" t="s">
        <v>121</v>
      </c>
      <c r="B106" s="2"/>
      <c r="C106" s="311" t="s">
        <v>333</v>
      </c>
      <c r="D106" s="323" t="s">
        <v>256</v>
      </c>
      <c r="E106" s="85" t="s">
        <v>241</v>
      </c>
      <c r="F106" s="2"/>
      <c r="Q106" s="87"/>
    </row>
    <row r="107" spans="1:19" x14ac:dyDescent="0.2">
      <c r="A107" s="289" t="s">
        <v>82</v>
      </c>
      <c r="B107" s="7"/>
      <c r="C107" s="112">
        <v>1</v>
      </c>
      <c r="D107" s="139">
        <v>20</v>
      </c>
      <c r="E107" s="339">
        <f>C107*D107</f>
        <v>20</v>
      </c>
      <c r="F107" s="2"/>
    </row>
    <row r="108" spans="1:19" x14ac:dyDescent="0.2">
      <c r="A108" s="289" t="s">
        <v>9</v>
      </c>
      <c r="B108" s="7"/>
      <c r="C108" s="112">
        <v>1</v>
      </c>
      <c r="D108" s="140">
        <v>17.5</v>
      </c>
      <c r="E108" s="339">
        <f t="shared" ref="E108:E115" si="3">C108*D108</f>
        <v>17.5</v>
      </c>
      <c r="F108" s="2"/>
    </row>
    <row r="109" spans="1:19" x14ac:dyDescent="0.2">
      <c r="A109" s="289" t="s">
        <v>42</v>
      </c>
      <c r="B109" s="7"/>
      <c r="C109" s="112">
        <v>1</v>
      </c>
      <c r="D109" s="140">
        <v>25</v>
      </c>
      <c r="E109" s="339">
        <f t="shared" si="3"/>
        <v>25</v>
      </c>
      <c r="F109" s="2"/>
    </row>
    <row r="110" spans="1:19" x14ac:dyDescent="0.2">
      <c r="A110" s="289"/>
      <c r="B110" s="7"/>
      <c r="C110" s="112"/>
      <c r="D110" s="140"/>
      <c r="E110" s="339">
        <f t="shared" si="3"/>
        <v>0</v>
      </c>
      <c r="F110" s="2"/>
    </row>
    <row r="111" spans="1:19" x14ac:dyDescent="0.2">
      <c r="A111" s="289"/>
      <c r="B111" s="7"/>
      <c r="C111" s="112"/>
      <c r="D111" s="140"/>
      <c r="E111" s="339">
        <f t="shared" si="3"/>
        <v>0</v>
      </c>
      <c r="F111" s="2"/>
    </row>
    <row r="112" spans="1:19" ht="14.25" customHeight="1" x14ac:dyDescent="0.2">
      <c r="A112" s="303" t="s">
        <v>108</v>
      </c>
      <c r="B112" s="7"/>
      <c r="C112" s="112">
        <v>1</v>
      </c>
      <c r="D112" s="140">
        <v>18</v>
      </c>
      <c r="E112" s="339">
        <f t="shared" si="3"/>
        <v>18</v>
      </c>
      <c r="F112" s="2"/>
    </row>
    <row r="113" spans="1:19" ht="14.25" customHeight="1" x14ac:dyDescent="0.2">
      <c r="A113" s="303"/>
      <c r="B113" s="7"/>
      <c r="C113" s="112"/>
      <c r="D113" s="140"/>
      <c r="E113" s="339">
        <f t="shared" si="3"/>
        <v>0</v>
      </c>
      <c r="F113" s="2"/>
    </row>
    <row r="114" spans="1:19" ht="14.25" customHeight="1" x14ac:dyDescent="0.2">
      <c r="A114" s="303"/>
      <c r="B114" s="7"/>
      <c r="C114" s="112"/>
      <c r="D114" s="140"/>
      <c r="E114" s="339">
        <f t="shared" si="3"/>
        <v>0</v>
      </c>
      <c r="F114" s="2"/>
      <c r="H114" s="563" t="s">
        <v>337</v>
      </c>
    </row>
    <row r="115" spans="1:19" ht="12" customHeight="1" x14ac:dyDescent="0.2">
      <c r="A115" s="303"/>
      <c r="B115" s="5"/>
      <c r="C115" s="112"/>
      <c r="D115" s="140"/>
      <c r="E115" s="339">
        <f t="shared" si="3"/>
        <v>0</v>
      </c>
      <c r="F115" s="2"/>
      <c r="H115" s="564" t="s">
        <v>357</v>
      </c>
    </row>
    <row r="116" spans="1:19" ht="12.75" customHeight="1" x14ac:dyDescent="0.2">
      <c r="A116" s="289"/>
      <c r="B116" s="5"/>
      <c r="C116" s="112"/>
      <c r="D116" s="140"/>
      <c r="E116" s="343">
        <f>C116*D116</f>
        <v>0</v>
      </c>
      <c r="F116" s="2"/>
    </row>
    <row r="117" spans="1:19" ht="12" customHeight="1" x14ac:dyDescent="0.2">
      <c r="A117" s="22" t="s">
        <v>226</v>
      </c>
      <c r="B117" s="5"/>
      <c r="C117" s="16"/>
      <c r="D117" s="5"/>
      <c r="E117" s="348">
        <f>SUM(E107:E116)</f>
        <v>80.5</v>
      </c>
      <c r="F117" s="2"/>
      <c r="H117" s="563" t="s">
        <v>335</v>
      </c>
    </row>
    <row r="118" spans="1:19" ht="12" customHeight="1" x14ac:dyDescent="0.2">
      <c r="A118" s="15"/>
      <c r="B118" s="5"/>
      <c r="C118" s="16"/>
      <c r="D118" s="5"/>
      <c r="E118" s="186"/>
      <c r="F118" s="2"/>
      <c r="H118" s="564" t="s">
        <v>336</v>
      </c>
    </row>
    <row r="119" spans="1:19" ht="12.75" customHeight="1" x14ac:dyDescent="0.2">
      <c r="A119" s="22" t="s">
        <v>122</v>
      </c>
      <c r="B119" s="5"/>
      <c r="C119" s="310" t="s">
        <v>333</v>
      </c>
      <c r="D119" s="310" t="s">
        <v>256</v>
      </c>
      <c r="E119" s="85" t="s">
        <v>241</v>
      </c>
      <c r="F119" s="2"/>
      <c r="H119" s="57" t="s">
        <v>359</v>
      </c>
    </row>
    <row r="120" spans="1:19" ht="12.75" customHeight="1" x14ac:dyDescent="0.2">
      <c r="A120" s="285" t="s">
        <v>3</v>
      </c>
      <c r="B120" s="5"/>
      <c r="C120" s="112">
        <v>1</v>
      </c>
      <c r="D120" s="141">
        <v>40</v>
      </c>
      <c r="E120" s="343">
        <f>C120*D120</f>
        <v>40</v>
      </c>
      <c r="F120" s="2"/>
    </row>
    <row r="121" spans="1:19" ht="12.75" customHeight="1" x14ac:dyDescent="0.2">
      <c r="A121" s="289" t="s">
        <v>43</v>
      </c>
      <c r="B121" s="63"/>
      <c r="C121" s="112">
        <v>0</v>
      </c>
      <c r="D121" s="141">
        <v>0</v>
      </c>
      <c r="E121" s="343">
        <f t="shared" ref="E121:E125" si="4">C121*D121</f>
        <v>0</v>
      </c>
      <c r="F121" s="2"/>
      <c r="H121" t="s">
        <v>360</v>
      </c>
      <c r="S121" s="32"/>
    </row>
    <row r="122" spans="1:19" ht="12.75" customHeight="1" x14ac:dyDescent="0.2">
      <c r="A122" s="289" t="s">
        <v>137</v>
      </c>
      <c r="B122" s="7"/>
      <c r="C122" s="112">
        <v>0</v>
      </c>
      <c r="D122" s="141">
        <v>0</v>
      </c>
      <c r="E122" s="343">
        <f t="shared" si="4"/>
        <v>0</v>
      </c>
      <c r="F122" s="2"/>
      <c r="H122" s="564" t="s">
        <v>361</v>
      </c>
      <c r="S122" s="32"/>
    </row>
    <row r="123" spans="1:19" ht="12.75" customHeight="1" x14ac:dyDescent="0.2">
      <c r="A123" s="289"/>
      <c r="B123" s="63"/>
      <c r="C123" s="112"/>
      <c r="D123" s="141"/>
      <c r="E123" s="343">
        <f t="shared" si="4"/>
        <v>0</v>
      </c>
      <c r="F123" s="2"/>
      <c r="S123" s="32"/>
    </row>
    <row r="124" spans="1:19" ht="12.75" customHeight="1" x14ac:dyDescent="0.2">
      <c r="A124" s="289"/>
      <c r="B124" s="63"/>
      <c r="C124" s="112"/>
      <c r="D124" s="141"/>
      <c r="E124" s="343">
        <f t="shared" si="4"/>
        <v>0</v>
      </c>
      <c r="F124" s="2"/>
      <c r="H124" s="563" t="s">
        <v>338</v>
      </c>
      <c r="S124" s="32"/>
    </row>
    <row r="125" spans="1:19" ht="12.75" customHeight="1" x14ac:dyDescent="0.2">
      <c r="A125" s="289"/>
      <c r="B125" s="63"/>
      <c r="C125" s="112"/>
      <c r="D125" s="140"/>
      <c r="E125" s="343">
        <f t="shared" si="4"/>
        <v>0</v>
      </c>
      <c r="F125" s="2"/>
      <c r="H125" s="564" t="s">
        <v>339</v>
      </c>
      <c r="S125" s="32"/>
    </row>
    <row r="126" spans="1:19" ht="12.75" customHeight="1" x14ac:dyDescent="0.2">
      <c r="A126" s="18" t="s">
        <v>204</v>
      </c>
      <c r="B126" s="251"/>
      <c r="C126" s="65"/>
      <c r="D126" s="66"/>
      <c r="E126" s="348">
        <f>SUM(E120:E125)</f>
        <v>40</v>
      </c>
      <c r="F126" s="2"/>
      <c r="S126" s="32"/>
    </row>
    <row r="127" spans="1:19" ht="12.75" customHeight="1" x14ac:dyDescent="0.2">
      <c r="A127" s="185"/>
      <c r="B127" s="185"/>
      <c r="C127" s="65"/>
      <c r="D127" s="66"/>
      <c r="E127" s="145"/>
      <c r="F127" s="58"/>
      <c r="G127" s="56"/>
      <c r="H127" s="563" t="s">
        <v>340</v>
      </c>
      <c r="S127" s="32"/>
    </row>
    <row r="128" spans="1:19" ht="12.75" customHeight="1" x14ac:dyDescent="0.2">
      <c r="A128" s="359" t="s">
        <v>34</v>
      </c>
      <c r="B128" s="323" t="s">
        <v>255</v>
      </c>
      <c r="C128" s="363" t="s">
        <v>124</v>
      </c>
      <c r="D128" s="333" t="s">
        <v>254</v>
      </c>
      <c r="E128" s="85" t="s">
        <v>241</v>
      </c>
      <c r="F128" s="58"/>
      <c r="H128" s="564" t="s">
        <v>358</v>
      </c>
      <c r="S128" s="32"/>
    </row>
    <row r="129" spans="1:19" ht="12.75" customHeight="1" x14ac:dyDescent="0.2">
      <c r="A129" s="289" t="s">
        <v>134</v>
      </c>
      <c r="B129" s="360">
        <v>900</v>
      </c>
      <c r="C129" s="282">
        <v>40</v>
      </c>
      <c r="D129" s="361">
        <v>4</v>
      </c>
      <c r="E129" s="362">
        <f>((C129*D129)*(C14/B129))</f>
        <v>31.111111111111111</v>
      </c>
      <c r="F129" s="2"/>
      <c r="S129" s="32"/>
    </row>
    <row r="130" spans="1:19" ht="12.75" customHeight="1" x14ac:dyDescent="0.2">
      <c r="A130" s="326"/>
      <c r="B130" s="297">
        <v>450</v>
      </c>
      <c r="C130" s="123"/>
      <c r="D130" s="204"/>
      <c r="E130" s="344">
        <f>((C130*D130)*(C15/B130))</f>
        <v>0</v>
      </c>
      <c r="F130" s="2"/>
      <c r="S130" s="32"/>
    </row>
    <row r="131" spans="1:19" ht="12.75" customHeight="1" x14ac:dyDescent="0.2">
      <c r="A131" s="239" t="s">
        <v>334</v>
      </c>
      <c r="B131" s="237"/>
      <c r="C131" s="217"/>
      <c r="D131" s="218"/>
      <c r="E131" s="348">
        <f>E126+E129+E130</f>
        <v>71.111111111111114</v>
      </c>
      <c r="F131" s="2"/>
      <c r="S131" s="32"/>
    </row>
    <row r="132" spans="1:19" ht="12.75" customHeight="1" x14ac:dyDescent="0.2">
      <c r="A132" s="164" t="s">
        <v>107</v>
      </c>
      <c r="B132" s="209"/>
      <c r="C132" s="161"/>
      <c r="D132" s="162"/>
      <c r="E132" s="163"/>
      <c r="F132" s="210"/>
      <c r="S132" s="32"/>
    </row>
    <row r="133" spans="1:19" ht="12.75" customHeight="1" x14ac:dyDescent="0.2">
      <c r="A133" s="185"/>
      <c r="B133" s="185"/>
      <c r="C133" s="320" t="s">
        <v>109</v>
      </c>
      <c r="D133" s="321" t="s">
        <v>253</v>
      </c>
      <c r="E133" s="85" t="s">
        <v>241</v>
      </c>
      <c r="F133" s="13"/>
      <c r="S133" s="32"/>
    </row>
    <row r="134" spans="1:19" ht="12.75" customHeight="1" x14ac:dyDescent="0.2">
      <c r="A134" s="185" t="s">
        <v>110</v>
      </c>
      <c r="B134" s="185"/>
      <c r="C134" s="112">
        <v>6</v>
      </c>
      <c r="D134" s="140">
        <v>0.06</v>
      </c>
      <c r="E134" s="343">
        <f>(C134*D134)*C14</f>
        <v>63</v>
      </c>
      <c r="F134" s="13"/>
      <c r="S134" s="32"/>
    </row>
    <row r="135" spans="1:19" ht="12.75" customHeight="1" x14ac:dyDescent="0.2">
      <c r="A135" s="185"/>
      <c r="B135" s="99" t="s">
        <v>111</v>
      </c>
      <c r="C135" s="320" t="s">
        <v>112</v>
      </c>
      <c r="D135" s="321" t="s">
        <v>252</v>
      </c>
      <c r="E135" s="85" t="s">
        <v>241</v>
      </c>
      <c r="F135" s="13"/>
      <c r="S135" s="32"/>
    </row>
    <row r="136" spans="1:19" ht="12.75" customHeight="1" x14ac:dyDescent="0.2">
      <c r="A136" s="185" t="s">
        <v>32</v>
      </c>
      <c r="B136" s="305">
        <v>1</v>
      </c>
      <c r="C136" s="112">
        <v>6</v>
      </c>
      <c r="D136" s="140">
        <v>0.04</v>
      </c>
      <c r="E136" s="349">
        <f>(C14*B136)*(C136*D136)</f>
        <v>42</v>
      </c>
      <c r="F136" s="13"/>
      <c r="S136" s="32"/>
    </row>
    <row r="137" spans="1:19" s="56" customFormat="1" ht="12.75" customHeight="1" x14ac:dyDescent="0.2">
      <c r="A137" s="205" t="s">
        <v>104</v>
      </c>
      <c r="B137" s="160"/>
      <c r="C137" s="206"/>
      <c r="D137" s="207"/>
      <c r="E137" s="208"/>
      <c r="F137" s="146"/>
      <c r="S137" s="200"/>
    </row>
    <row r="138" spans="1:19" ht="12.75" customHeight="1" x14ac:dyDescent="0.2">
      <c r="A138" s="185"/>
      <c r="B138" s="185"/>
      <c r="C138" s="320" t="s">
        <v>251</v>
      </c>
      <c r="D138" s="321" t="s">
        <v>250</v>
      </c>
      <c r="E138" s="85" t="s">
        <v>241</v>
      </c>
      <c r="F138" s="2"/>
      <c r="G138" s="29"/>
      <c r="S138" s="32"/>
    </row>
    <row r="139" spans="1:19" ht="12.75" customHeight="1" x14ac:dyDescent="0.2">
      <c r="A139" s="365" t="s">
        <v>45</v>
      </c>
      <c r="B139" s="366"/>
      <c r="C139" s="240">
        <v>1.5</v>
      </c>
      <c r="D139" s="140">
        <v>15</v>
      </c>
      <c r="E139" s="343">
        <f>C139*D139</f>
        <v>22.5</v>
      </c>
      <c r="F139" s="2"/>
      <c r="S139" s="32"/>
    </row>
    <row r="140" spans="1:19" ht="12.75" customHeight="1" x14ac:dyDescent="0.2">
      <c r="A140" s="185"/>
      <c r="B140" s="185"/>
      <c r="C140" s="65"/>
      <c r="D140" s="66"/>
      <c r="E140" s="17"/>
      <c r="F140" s="2"/>
      <c r="S140" s="32"/>
    </row>
    <row r="141" spans="1:19" ht="12.75" customHeight="1" x14ac:dyDescent="0.2">
      <c r="A141" s="209"/>
      <c r="B141" s="167"/>
      <c r="C141" s="161"/>
      <c r="D141" s="162"/>
      <c r="E141" s="211"/>
      <c r="F141" s="146"/>
    </row>
    <row r="142" spans="1:19" ht="12.75" customHeight="1" x14ac:dyDescent="0.2">
      <c r="A142" s="52" t="s">
        <v>230</v>
      </c>
      <c r="B142" s="2"/>
      <c r="C142" s="327">
        <v>5.1999999999999998E-2</v>
      </c>
      <c r="D142" s="2"/>
      <c r="E142" s="339">
        <f>(C142*0.67)*(E103+(0.2*E117))</f>
        <v>23.485796425000004</v>
      </c>
      <c r="F142" s="2"/>
      <c r="G142" s="136" t="s">
        <v>59</v>
      </c>
      <c r="H142" s="137"/>
      <c r="I142" s="137"/>
      <c r="J142" s="137"/>
      <c r="K142" s="137"/>
      <c r="L142" s="138"/>
    </row>
    <row r="143" spans="1:19" ht="12.75" customHeight="1" x14ac:dyDescent="0.2">
      <c r="A143" s="23"/>
      <c r="B143" s="2"/>
      <c r="C143" s="2"/>
      <c r="D143" s="2"/>
      <c r="E143" s="30"/>
      <c r="F143" s="2"/>
      <c r="G143" s="20"/>
      <c r="H143" s="20"/>
      <c r="I143" s="70"/>
      <c r="J143" s="70"/>
      <c r="K143" s="20"/>
      <c r="L143" s="70"/>
      <c r="M143" s="71"/>
    </row>
    <row r="144" spans="1:19" ht="12.75" customHeight="1" x14ac:dyDescent="0.2">
      <c r="A144" s="52" t="s">
        <v>85</v>
      </c>
      <c r="B144" s="68"/>
      <c r="C144" s="69"/>
      <c r="D144" s="66"/>
      <c r="E144" s="341">
        <f>E16*0.05</f>
        <v>56.875</v>
      </c>
      <c r="F144" s="58"/>
    </row>
    <row r="145" spans="1:7" ht="12.75" customHeight="1" x14ac:dyDescent="0.2">
      <c r="A145" s="67" t="s">
        <v>232</v>
      </c>
      <c r="B145" s="2"/>
      <c r="C145" s="24"/>
      <c r="E145" s="341">
        <f>E103+E117+E131+E134+E136+E139+E142+E144</f>
        <v>1017.4762825361111</v>
      </c>
      <c r="F145" s="2"/>
    </row>
    <row r="146" spans="1:7" ht="12.75" customHeight="1" x14ac:dyDescent="0.2">
      <c r="A146" s="67" t="s">
        <v>231</v>
      </c>
      <c r="B146" s="2"/>
      <c r="C146" s="2"/>
      <c r="D146" s="24"/>
      <c r="E146" s="341">
        <f>E16-E145</f>
        <v>120.02371746388894</v>
      </c>
      <c r="F146" s="2"/>
    </row>
    <row r="147" spans="1:7" ht="14.25" x14ac:dyDescent="0.2">
      <c r="A147" s="33"/>
      <c r="B147" s="2"/>
      <c r="C147" s="85"/>
      <c r="D147" s="85"/>
      <c r="E147" s="86"/>
    </row>
    <row r="148" spans="1:7" x14ac:dyDescent="0.2">
      <c r="A148" s="79" t="s">
        <v>44</v>
      </c>
      <c r="B148" s="7"/>
      <c r="C148" s="65"/>
      <c r="D148" s="84"/>
      <c r="E148" s="350">
        <f>E145/C14</f>
        <v>5.814150185920635</v>
      </c>
    </row>
    <row r="149" spans="1:7" x14ac:dyDescent="0.2">
      <c r="A149" s="6"/>
      <c r="B149" s="7"/>
      <c r="C149" s="2"/>
      <c r="D149" s="2"/>
      <c r="E149" s="2"/>
    </row>
    <row r="150" spans="1:7" x14ac:dyDescent="0.2">
      <c r="C150" s="595" t="s">
        <v>26</v>
      </c>
      <c r="D150" s="596"/>
      <c r="E150" s="596"/>
      <c r="F150" s="596"/>
      <c r="G150" s="597"/>
    </row>
    <row r="151" spans="1:7" x14ac:dyDescent="0.2">
      <c r="C151" s="120"/>
      <c r="D151" s="121"/>
      <c r="E151" s="121"/>
      <c r="F151" s="121"/>
      <c r="G151" s="122"/>
    </row>
    <row r="152" spans="1:7" x14ac:dyDescent="0.2">
      <c r="C152" s="600" t="s">
        <v>18</v>
      </c>
      <c r="D152" s="601"/>
      <c r="E152" s="601"/>
      <c r="F152" s="601"/>
      <c r="G152" s="602"/>
    </row>
    <row r="153" spans="1:7" x14ac:dyDescent="0.2">
      <c r="A153" s="598" t="s">
        <v>24</v>
      </c>
      <c r="B153" s="599"/>
      <c r="C153" s="35"/>
      <c r="D153" s="35"/>
      <c r="E153" s="35"/>
      <c r="F153" s="36"/>
      <c r="G153" s="36"/>
    </row>
    <row r="154" spans="1:7" x14ac:dyDescent="0.2">
      <c r="A154" s="357" t="s">
        <v>27</v>
      </c>
      <c r="B154" s="358" t="s">
        <v>0</v>
      </c>
      <c r="C154" s="600" t="s">
        <v>26</v>
      </c>
      <c r="D154" s="601"/>
      <c r="E154" s="601"/>
      <c r="F154" s="601"/>
      <c r="G154" s="602"/>
    </row>
    <row r="155" spans="1:7" x14ac:dyDescent="0.2">
      <c r="A155" s="38" t="s">
        <v>21</v>
      </c>
      <c r="B155" s="39">
        <f>C14*1.2</f>
        <v>210</v>
      </c>
      <c r="C155" s="40">
        <f>(C$160*$B155)-$E$145</f>
        <v>74.523717463888943</v>
      </c>
      <c r="D155" s="40">
        <f>(D$160*B155)-$E$145</f>
        <v>211.02371746388894</v>
      </c>
      <c r="E155" s="40">
        <f>(E$160*$B155)-E$145</f>
        <v>347.52371746388894</v>
      </c>
      <c r="F155" s="41">
        <f>(F$160*$B155)-E$145</f>
        <v>484.02371746388894</v>
      </c>
      <c r="G155" s="41">
        <f>(G$160*B155)-E$145</f>
        <v>620.52371746388894</v>
      </c>
    </row>
    <row r="156" spans="1:7" x14ac:dyDescent="0.2">
      <c r="A156" s="38" t="s">
        <v>20</v>
      </c>
      <c r="B156" s="39">
        <f>C14*1.1</f>
        <v>192.50000000000003</v>
      </c>
      <c r="C156" s="40">
        <f>(C$160*B156)-$E$145</f>
        <v>-16.47628253611083</v>
      </c>
      <c r="D156" s="40">
        <f>(D$160*B156)-$E$145</f>
        <v>108.64871746388917</v>
      </c>
      <c r="E156" s="40">
        <f>(E$160*$B156)-E$145</f>
        <v>233.77371746388917</v>
      </c>
      <c r="F156" s="41">
        <f>(F$160*$B156)-E$145</f>
        <v>358.89871746388917</v>
      </c>
      <c r="G156" s="41">
        <f>(G$160*B156)-E$145</f>
        <v>484.02371746388917</v>
      </c>
    </row>
    <row r="157" spans="1:7" x14ac:dyDescent="0.2">
      <c r="A157" s="34"/>
      <c r="B157" s="39">
        <f>C14</f>
        <v>175</v>
      </c>
      <c r="C157" s="40">
        <f>(C$160*B157)-$E$145</f>
        <v>-107.47628253611106</v>
      </c>
      <c r="D157" s="40">
        <f>(D$160*B157)-$E$145</f>
        <v>6.2737174638890565</v>
      </c>
      <c r="E157" s="43">
        <f>(E$160*$B157)-E$145</f>
        <v>120.02371746388894</v>
      </c>
      <c r="F157" s="41">
        <f>(F$160*$B157)-E$145</f>
        <v>233.77371746388894</v>
      </c>
      <c r="G157" s="41">
        <f>(G$160*B157)-E$145</f>
        <v>347.52371746388894</v>
      </c>
    </row>
    <row r="158" spans="1:7" x14ac:dyDescent="0.2">
      <c r="A158" s="38" t="s">
        <v>22</v>
      </c>
      <c r="B158" s="39">
        <f>C14*0.9</f>
        <v>157.5</v>
      </c>
      <c r="C158" s="40">
        <f>(C$160*B158)-$E$145</f>
        <v>-198.47628253611106</v>
      </c>
      <c r="D158" s="40">
        <f>(D$160*B158)-$E$145</f>
        <v>-96.101282536110944</v>
      </c>
      <c r="E158" s="40">
        <f>(E$160*$B158)-E$145</f>
        <v>6.2737174638889428</v>
      </c>
      <c r="F158" s="41">
        <f>(F$160*$B158)-E$145</f>
        <v>108.64871746388894</v>
      </c>
      <c r="G158" s="41">
        <f>(G$160*B158)-E$145</f>
        <v>211.02371746388894</v>
      </c>
    </row>
    <row r="159" spans="1:7" x14ac:dyDescent="0.2">
      <c r="A159" s="38" t="s">
        <v>23</v>
      </c>
      <c r="B159" s="39">
        <f>C14*0.8</f>
        <v>140</v>
      </c>
      <c r="C159" s="40">
        <f>(C$160*B159)-$E$145</f>
        <v>-289.47628253611106</v>
      </c>
      <c r="D159" s="40">
        <f>(D$160*B159)-$E$145</f>
        <v>-198.47628253611094</v>
      </c>
      <c r="E159" s="40">
        <f>(E$160*$B159)-E$145</f>
        <v>-107.47628253611106</v>
      </c>
      <c r="F159" s="41">
        <f>(F$160*$B159)-E$145</f>
        <v>-16.476282536111057</v>
      </c>
      <c r="G159" s="41">
        <f>(G$160*B159)-E$145</f>
        <v>74.523717463888943</v>
      </c>
    </row>
    <row r="160" spans="1:7" x14ac:dyDescent="0.2">
      <c r="A160" s="356" t="s">
        <v>25</v>
      </c>
      <c r="B160" s="351"/>
      <c r="C160" s="352">
        <f>D14*0.8</f>
        <v>5.2</v>
      </c>
      <c r="D160" s="352">
        <f>D14*0.9</f>
        <v>5.8500000000000005</v>
      </c>
      <c r="E160" s="352">
        <f>D14</f>
        <v>6.5</v>
      </c>
      <c r="F160" s="352">
        <f>D14*1.1</f>
        <v>7.15</v>
      </c>
      <c r="G160" s="352">
        <f>D14*1.2</f>
        <v>7.8</v>
      </c>
    </row>
    <row r="161" spans="1:7" x14ac:dyDescent="0.2">
      <c r="A161" s="356" t="s">
        <v>19</v>
      </c>
      <c r="B161" s="351"/>
      <c r="C161" s="353" t="s">
        <v>23</v>
      </c>
      <c r="D161" s="353" t="s">
        <v>22</v>
      </c>
      <c r="E161" s="354"/>
      <c r="F161" s="353" t="s">
        <v>20</v>
      </c>
      <c r="G161" s="355" t="s">
        <v>21</v>
      </c>
    </row>
  </sheetData>
  <sheetProtection algorithmName="SHA-512" hashValue="LjLY1KlouwE3tWammzUzMZhBG+B/Nfey+tfJgu1TmRIH4cdsyTnulMrB7bfBhnECPqe2MkyijfYsN9//hZHkLQ==" saltValue="9yDqIQ0V2TLh0mJs38/DZw==" spinCount="100000" sheet="1" objects="1" scenarios="1"/>
  <mergeCells count="4">
    <mergeCell ref="C150:G150"/>
    <mergeCell ref="A153:B153"/>
    <mergeCell ref="C154:G154"/>
    <mergeCell ref="C152:G152"/>
  </mergeCells>
  <phoneticPr fontId="8" type="noConversion"/>
  <hyperlinks>
    <hyperlink ref="H118" r:id="rId1" xr:uid="{00000000-0004-0000-0200-000000000000}"/>
    <hyperlink ref="H125" r:id="rId2" xr:uid="{00000000-0004-0000-0200-000002000000}"/>
    <hyperlink ref="H119" r:id="rId3" xr:uid="{E1AC1664-CE42-4489-81FF-32C3F7DE9AD8}"/>
    <hyperlink ref="H122" r:id="rId4" xr:uid="{B2FDA846-3C02-440B-95FE-468DDB2F7D64}"/>
  </hyperlinks>
  <printOptions gridLines="1"/>
  <pageMargins left="0" right="0" top="0" bottom="0" header="0.5" footer="0.5"/>
  <pageSetup scale="82" fitToWidth="0" fitToHeight="2"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183"/>
  <sheetViews>
    <sheetView workbookViewId="0">
      <selection activeCell="B14" sqref="B14"/>
    </sheetView>
  </sheetViews>
  <sheetFormatPr defaultColWidth="8.42578125" defaultRowHeight="12.75" x14ac:dyDescent="0.2"/>
  <cols>
    <col min="1" max="1" width="23.42578125" customWidth="1"/>
    <col min="2" max="2" width="16.140625" customWidth="1"/>
    <col min="3" max="3" width="18.7109375" customWidth="1"/>
    <col min="4" max="4" width="15" customWidth="1"/>
    <col min="5" max="5" width="11.28515625" customWidth="1"/>
    <col min="6" max="6" width="7.28515625" customWidth="1"/>
    <col min="7" max="7" width="13.42578125" customWidth="1"/>
    <col min="8" max="9" width="7.42578125" customWidth="1"/>
    <col min="10" max="10" width="8.42578125" customWidth="1"/>
    <col min="11" max="11" width="8" customWidth="1"/>
  </cols>
  <sheetData>
    <row r="1" spans="1:9" ht="15.75" customHeight="1" x14ac:dyDescent="0.2">
      <c r="A1" s="29" t="s">
        <v>29</v>
      </c>
      <c r="E1" s="57"/>
    </row>
    <row r="2" spans="1:9" ht="8.25" customHeight="1" x14ac:dyDescent="0.2"/>
    <row r="3" spans="1:9" ht="15" customHeight="1" x14ac:dyDescent="0.2"/>
    <row r="4" spans="1:9" ht="8.25" customHeight="1" x14ac:dyDescent="0.2"/>
    <row r="5" spans="1:9" ht="18.75" customHeight="1" x14ac:dyDescent="0.25">
      <c r="A5" s="416" t="s">
        <v>317</v>
      </c>
      <c r="D5" s="421"/>
      <c r="E5" s="422"/>
    </row>
    <row r="6" spans="1:9" ht="5.25" customHeight="1" x14ac:dyDescent="0.2"/>
    <row r="7" spans="1:9" x14ac:dyDescent="0.2">
      <c r="A7" s="72" t="s">
        <v>83</v>
      </c>
      <c r="E7" s="423"/>
      <c r="I7" s="424"/>
    </row>
    <row r="8" spans="1:9" x14ac:dyDescent="0.2">
      <c r="A8" s="72" t="s">
        <v>229</v>
      </c>
      <c r="E8" s="425"/>
    </row>
    <row r="9" spans="1:9" x14ac:dyDescent="0.2">
      <c r="A9" s="72" t="s">
        <v>71</v>
      </c>
      <c r="E9" s="426"/>
    </row>
    <row r="10" spans="1:9" x14ac:dyDescent="0.2">
      <c r="A10" s="72"/>
      <c r="C10" s="427"/>
    </row>
    <row r="11" spans="1:9" ht="20.100000000000001" customHeight="1" x14ac:dyDescent="0.25">
      <c r="A11" s="4" t="s">
        <v>344</v>
      </c>
      <c r="B11" s="278"/>
      <c r="C11" s="277"/>
      <c r="D11" s="67"/>
      <c r="E11" s="2"/>
      <c r="F11" s="2"/>
    </row>
    <row r="12" spans="1:9" x14ac:dyDescent="0.2">
      <c r="A12" s="428" t="s">
        <v>37</v>
      </c>
      <c r="B12" s="429"/>
      <c r="C12" s="430"/>
      <c r="D12" s="429"/>
      <c r="E12" s="429"/>
      <c r="F12" s="144"/>
    </row>
    <row r="13" spans="1:9" x14ac:dyDescent="0.2">
      <c r="A13" s="72"/>
      <c r="B13" s="72" t="s">
        <v>247</v>
      </c>
      <c r="C13" s="431" t="s">
        <v>267</v>
      </c>
      <c r="D13" s="91" t="s">
        <v>240</v>
      </c>
      <c r="E13" s="91" t="s">
        <v>237</v>
      </c>
    </row>
    <row r="14" spans="1:9" x14ac:dyDescent="0.2">
      <c r="A14" s="29" t="s">
        <v>207</v>
      </c>
      <c r="B14" s="377">
        <v>0.65</v>
      </c>
      <c r="C14" s="112">
        <v>22</v>
      </c>
      <c r="D14" s="183">
        <v>55</v>
      </c>
      <c r="E14" s="408">
        <f>C14*D14</f>
        <v>1210</v>
      </c>
    </row>
    <row r="15" spans="1:9" x14ac:dyDescent="0.2">
      <c r="A15" s="29" t="s">
        <v>228</v>
      </c>
      <c r="C15" s="375">
        <f>C14*(1-B14)</f>
        <v>7.6999999999999993</v>
      </c>
      <c r="D15" s="432"/>
      <c r="E15" s="433"/>
    </row>
    <row r="16" spans="1:9" x14ac:dyDescent="0.2">
      <c r="A16" s="221" t="s">
        <v>39</v>
      </c>
      <c r="B16" s="434"/>
      <c r="C16" s="435"/>
      <c r="D16" s="434"/>
      <c r="E16" s="436">
        <f>E14</f>
        <v>1210</v>
      </c>
    </row>
    <row r="17" spans="1:18" x14ac:dyDescent="0.2">
      <c r="A17" s="428" t="s">
        <v>40</v>
      </c>
      <c r="B17" s="437"/>
      <c r="C17" s="438"/>
      <c r="D17" s="437"/>
      <c r="E17" s="437"/>
      <c r="F17" s="439"/>
    </row>
    <row r="18" spans="1:18" ht="12" customHeight="1" x14ac:dyDescent="0.2">
      <c r="A18" s="72"/>
      <c r="B18" s="32"/>
      <c r="C18" s="427"/>
      <c r="D18" s="32"/>
      <c r="E18" s="32"/>
    </row>
    <row r="19" spans="1:18" x14ac:dyDescent="0.2">
      <c r="A19" s="168" t="s">
        <v>4</v>
      </c>
      <c r="B19" s="144"/>
      <c r="C19" s="440"/>
      <c r="D19" s="440"/>
      <c r="E19" s="440"/>
      <c r="F19" s="144"/>
    </row>
    <row r="20" spans="1:18" ht="15" customHeight="1" x14ac:dyDescent="0.2">
      <c r="A20" s="441" t="s">
        <v>88</v>
      </c>
      <c r="B20" s="442"/>
      <c r="C20" s="443"/>
      <c r="D20" s="443"/>
      <c r="E20" s="443"/>
      <c r="F20" s="170"/>
      <c r="H20" s="72"/>
      <c r="J20" s="72"/>
      <c r="M20" s="29"/>
    </row>
    <row r="21" spans="1:18" x14ac:dyDescent="0.2">
      <c r="A21" s="53"/>
      <c r="B21" s="91" t="s">
        <v>238</v>
      </c>
      <c r="C21" s="91" t="s">
        <v>239</v>
      </c>
      <c r="D21" s="91" t="s">
        <v>240</v>
      </c>
      <c r="E21" s="431" t="s">
        <v>241</v>
      </c>
      <c r="G21" s="444"/>
      <c r="H21" s="72"/>
      <c r="J21" s="72"/>
      <c r="K21" s="72"/>
      <c r="M21" s="29"/>
    </row>
    <row r="22" spans="1:18" x14ac:dyDescent="0.2">
      <c r="A22" s="445" t="s">
        <v>304</v>
      </c>
      <c r="B22" s="297">
        <v>11.65</v>
      </c>
      <c r="C22" s="124">
        <v>5</v>
      </c>
      <c r="D22" s="140">
        <v>995</v>
      </c>
      <c r="E22" s="446">
        <f>((D22/2000)*B22*C22)</f>
        <v>28.979375000000005</v>
      </c>
      <c r="G22" s="447"/>
      <c r="H22" s="448"/>
      <c r="I22" s="447"/>
      <c r="J22" s="448"/>
      <c r="O22" s="29"/>
      <c r="P22" s="29"/>
      <c r="Q22" s="29"/>
      <c r="R22" s="29"/>
    </row>
    <row r="23" spans="1:18" x14ac:dyDescent="0.2">
      <c r="A23" s="445"/>
      <c r="B23" s="78"/>
      <c r="C23" s="449"/>
      <c r="D23" s="450"/>
      <c r="E23" s="451"/>
      <c r="G23" s="447"/>
      <c r="H23" s="448"/>
      <c r="I23" s="447"/>
      <c r="J23" s="448"/>
      <c r="O23" s="29"/>
      <c r="P23" s="29"/>
      <c r="Q23" s="29"/>
      <c r="R23" s="29"/>
    </row>
    <row r="24" spans="1:18" x14ac:dyDescent="0.2">
      <c r="A24" s="53"/>
      <c r="C24" s="91" t="s">
        <v>242</v>
      </c>
      <c r="D24" s="91" t="s">
        <v>240</v>
      </c>
      <c r="E24" s="431" t="s">
        <v>241</v>
      </c>
      <c r="G24" s="444"/>
      <c r="H24" s="72"/>
      <c r="J24" s="72"/>
      <c r="K24" s="72"/>
      <c r="M24" s="29"/>
    </row>
    <row r="25" spans="1:18" x14ac:dyDescent="0.2">
      <c r="A25" s="298" t="s">
        <v>33</v>
      </c>
      <c r="B25" s="32"/>
      <c r="C25" s="112">
        <v>0</v>
      </c>
      <c r="D25" s="140">
        <v>1000</v>
      </c>
      <c r="E25" s="452">
        <f>C25*(D25/2000)</f>
        <v>0</v>
      </c>
      <c r="G25" s="453"/>
      <c r="H25" s="308"/>
      <c r="J25" s="454"/>
    </row>
    <row r="26" spans="1:18" x14ac:dyDescent="0.2">
      <c r="A26" s="298" t="s">
        <v>66</v>
      </c>
      <c r="B26" s="32"/>
      <c r="C26" s="123"/>
      <c r="D26" s="140">
        <v>1000</v>
      </c>
      <c r="E26" s="455">
        <f>C26*(D26/2000)</f>
        <v>0</v>
      </c>
      <c r="G26" s="453"/>
      <c r="H26" s="308"/>
      <c r="J26" s="454"/>
    </row>
    <row r="27" spans="1:18" x14ac:dyDescent="0.2">
      <c r="A27" s="299" t="s">
        <v>66</v>
      </c>
      <c r="B27" s="32"/>
      <c r="C27" s="123"/>
      <c r="D27" s="281"/>
      <c r="E27" s="455">
        <f>C27*(D27/2000)</f>
        <v>0</v>
      </c>
      <c r="G27" s="453"/>
      <c r="H27" s="308"/>
      <c r="J27" s="454"/>
    </row>
    <row r="28" spans="1:18" x14ac:dyDescent="0.2">
      <c r="A28" s="298"/>
      <c r="B28" s="32"/>
      <c r="C28" s="112"/>
      <c r="D28" s="140"/>
      <c r="E28" s="452">
        <f>C28*(D28/2000)</f>
        <v>0</v>
      </c>
      <c r="G28" s="453"/>
      <c r="H28" s="308"/>
      <c r="J28" s="454"/>
    </row>
    <row r="29" spans="1:18" x14ac:dyDescent="0.2">
      <c r="A29" s="456"/>
      <c r="B29" s="32"/>
      <c r="C29" s="457"/>
      <c r="D29" s="458"/>
      <c r="E29" s="458"/>
      <c r="G29" s="453"/>
      <c r="H29" s="308"/>
      <c r="J29" s="454"/>
    </row>
    <row r="30" spans="1:18" ht="14.25" customHeight="1" x14ac:dyDescent="0.2">
      <c r="A30" s="459" t="s">
        <v>135</v>
      </c>
      <c r="B30" s="460"/>
      <c r="C30" s="461"/>
      <c r="D30" s="462"/>
      <c r="E30" s="462"/>
      <c r="F30" s="170"/>
    </row>
    <row r="31" spans="1:18" ht="14.25" customHeight="1" x14ac:dyDescent="0.2">
      <c r="A31" s="447" t="s">
        <v>306</v>
      </c>
      <c r="C31" s="463" t="s">
        <v>243</v>
      </c>
      <c r="D31" s="91" t="s">
        <v>244</v>
      </c>
      <c r="E31" s="431" t="s">
        <v>241</v>
      </c>
    </row>
    <row r="32" spans="1:18" ht="14.25" customHeight="1" x14ac:dyDescent="0.2">
      <c r="A32" s="291" t="s">
        <v>14</v>
      </c>
      <c r="B32" s="78"/>
      <c r="C32" s="112">
        <v>115</v>
      </c>
      <c r="D32" s="140">
        <v>1.18</v>
      </c>
      <c r="E32" s="452">
        <f>C32*D32</f>
        <v>135.69999999999999</v>
      </c>
    </row>
    <row r="33" spans="1:12" ht="14.25" customHeight="1" x14ac:dyDescent="0.2">
      <c r="A33" s="312" t="s">
        <v>15</v>
      </c>
      <c r="B33" s="32"/>
      <c r="C33" s="112"/>
      <c r="D33" s="140">
        <v>0</v>
      </c>
      <c r="E33" s="452">
        <f t="shared" ref="E33:E35" si="0">C33*D33</f>
        <v>0</v>
      </c>
    </row>
    <row r="34" spans="1:12" ht="13.5" customHeight="1" x14ac:dyDescent="0.2">
      <c r="A34" s="312" t="s">
        <v>16</v>
      </c>
      <c r="B34" s="32"/>
      <c r="C34" s="112"/>
      <c r="D34" s="140">
        <v>0</v>
      </c>
      <c r="E34" s="452">
        <f t="shared" si="0"/>
        <v>0</v>
      </c>
      <c r="G34" s="464"/>
      <c r="H34" s="465"/>
      <c r="I34" s="465"/>
      <c r="J34" s="91"/>
      <c r="K34" s="72"/>
      <c r="L34" s="72"/>
    </row>
    <row r="35" spans="1:12" ht="14.25" customHeight="1" x14ac:dyDescent="0.2">
      <c r="A35" s="313" t="s">
        <v>17</v>
      </c>
      <c r="B35" s="32"/>
      <c r="C35" s="112"/>
      <c r="D35" s="140">
        <v>0</v>
      </c>
      <c r="E35" s="455">
        <f t="shared" si="0"/>
        <v>0</v>
      </c>
      <c r="G35" s="453"/>
      <c r="H35" s="448"/>
      <c r="I35" s="448"/>
      <c r="J35" s="448"/>
      <c r="K35" s="448"/>
    </row>
    <row r="36" spans="1:12" ht="14.25" customHeight="1" x14ac:dyDescent="0.2">
      <c r="A36" s="289" t="s">
        <v>86</v>
      </c>
      <c r="B36" s="32"/>
      <c r="C36" s="457"/>
      <c r="D36" s="458"/>
      <c r="E36" s="300">
        <v>0</v>
      </c>
      <c r="G36" s="453"/>
      <c r="H36" s="448"/>
      <c r="I36" s="448"/>
      <c r="J36" s="448"/>
      <c r="K36" s="448"/>
    </row>
    <row r="37" spans="1:12" ht="14.25" customHeight="1" x14ac:dyDescent="0.2">
      <c r="A37" s="466" t="s">
        <v>136</v>
      </c>
      <c r="B37" s="467"/>
      <c r="C37" s="457"/>
      <c r="D37" s="458"/>
      <c r="E37" s="140">
        <v>0</v>
      </c>
      <c r="G37" s="453"/>
      <c r="H37" s="448"/>
      <c r="I37" s="448"/>
      <c r="J37" s="448"/>
      <c r="K37" s="448"/>
    </row>
    <row r="38" spans="1:12" ht="14.25" x14ac:dyDescent="0.25">
      <c r="A38" s="445"/>
      <c r="B38" s="32"/>
      <c r="C38" s="91" t="s">
        <v>194</v>
      </c>
      <c r="D38" s="468" t="s">
        <v>266</v>
      </c>
      <c r="E38" s="451"/>
      <c r="G38" s="444"/>
      <c r="I38" s="448"/>
    </row>
    <row r="39" spans="1:12" x14ac:dyDescent="0.2">
      <c r="A39" s="456" t="s">
        <v>193</v>
      </c>
      <c r="C39" s="112">
        <v>0</v>
      </c>
      <c r="D39" s="300">
        <v>0</v>
      </c>
      <c r="E39" s="345">
        <f t="shared" ref="E39" si="1">C39*D39</f>
        <v>0</v>
      </c>
      <c r="G39" s="447"/>
      <c r="H39" s="448"/>
    </row>
    <row r="40" spans="1:12" ht="14.25" customHeight="1" x14ac:dyDescent="0.25">
      <c r="A40" s="445"/>
      <c r="B40" s="32"/>
      <c r="C40" s="91" t="s">
        <v>195</v>
      </c>
      <c r="D40" s="468" t="s">
        <v>265</v>
      </c>
      <c r="E40" s="451"/>
      <c r="G40" s="453"/>
      <c r="H40" s="448"/>
      <c r="K40" s="72"/>
    </row>
    <row r="41" spans="1:12" ht="14.25" customHeight="1" x14ac:dyDescent="0.2">
      <c r="A41" s="469" t="s">
        <v>13</v>
      </c>
      <c r="C41" s="112">
        <v>200</v>
      </c>
      <c r="D41" s="140">
        <v>0.71</v>
      </c>
      <c r="E41" s="452">
        <f>C41*D41</f>
        <v>142</v>
      </c>
      <c r="G41" s="464"/>
      <c r="H41" s="465"/>
      <c r="I41" s="470"/>
      <c r="J41" s="470"/>
      <c r="K41" s="91"/>
      <c r="L41" s="91"/>
    </row>
    <row r="42" spans="1:12" ht="14.25" customHeight="1" x14ac:dyDescent="0.2">
      <c r="C42" s="471"/>
      <c r="G42" s="453"/>
      <c r="H42" s="308"/>
      <c r="I42" s="308"/>
      <c r="J42" s="308"/>
      <c r="K42" s="308"/>
      <c r="L42" s="308"/>
    </row>
    <row r="43" spans="1:12" ht="14.25" customHeight="1" x14ac:dyDescent="0.2">
      <c r="A43" s="289" t="s">
        <v>133</v>
      </c>
      <c r="B43" s="32"/>
      <c r="C43" s="472"/>
      <c r="D43" s="450"/>
      <c r="E43" s="140">
        <v>0</v>
      </c>
      <c r="G43" s="453"/>
      <c r="H43" s="448"/>
      <c r="I43" s="448"/>
      <c r="J43" s="448"/>
      <c r="K43" s="448"/>
      <c r="L43" s="448"/>
    </row>
    <row r="44" spans="1:12" ht="14.25" customHeight="1" x14ac:dyDescent="0.2">
      <c r="A44" s="473"/>
      <c r="B44" s="32"/>
      <c r="C44" s="472"/>
      <c r="D44" s="450"/>
      <c r="E44" s="474"/>
      <c r="G44" s="453"/>
      <c r="H44" s="448"/>
      <c r="I44" s="448"/>
      <c r="J44" s="448"/>
      <c r="K44" s="448"/>
      <c r="L44" s="448"/>
    </row>
    <row r="45" spans="1:12" ht="14.25" customHeight="1" x14ac:dyDescent="0.2">
      <c r="A45" s="289" t="s">
        <v>7</v>
      </c>
      <c r="B45" s="32"/>
      <c r="C45" s="472"/>
      <c r="D45" s="450"/>
      <c r="E45" s="140">
        <v>0</v>
      </c>
      <c r="G45" s="453"/>
      <c r="H45" s="448"/>
      <c r="I45" s="448"/>
      <c r="J45" s="448"/>
      <c r="K45" s="448"/>
      <c r="L45" s="448"/>
    </row>
    <row r="46" spans="1:12" ht="14.25" customHeight="1" x14ac:dyDescent="0.2">
      <c r="A46" s="289"/>
      <c r="B46" s="32"/>
      <c r="C46" s="472"/>
      <c r="D46" s="450"/>
      <c r="E46" s="140">
        <v>0</v>
      </c>
      <c r="G46" s="453"/>
      <c r="H46" s="448"/>
      <c r="I46" s="448"/>
      <c r="J46" s="448"/>
      <c r="K46" s="448"/>
      <c r="L46" s="448"/>
    </row>
    <row r="47" spans="1:12" ht="14.25" customHeight="1" x14ac:dyDescent="0.2">
      <c r="A47" s="289"/>
      <c r="B47" s="32"/>
      <c r="C47" s="472"/>
      <c r="D47" s="450"/>
      <c r="E47" s="140">
        <v>0</v>
      </c>
      <c r="G47" s="453"/>
      <c r="H47" s="448"/>
      <c r="I47" s="448"/>
      <c r="J47" s="448"/>
      <c r="K47" s="448"/>
      <c r="L47" s="448"/>
    </row>
    <row r="48" spans="1:12" ht="14.25" customHeight="1" x14ac:dyDescent="0.2">
      <c r="A48" s="53" t="s">
        <v>248</v>
      </c>
      <c r="B48" s="475"/>
      <c r="C48" s="463" t="s">
        <v>72</v>
      </c>
      <c r="D48" s="431" t="s">
        <v>256</v>
      </c>
      <c r="E48" s="450"/>
      <c r="G48" s="453"/>
      <c r="H48" s="448"/>
      <c r="I48" s="448"/>
      <c r="J48" s="448"/>
      <c r="K48" s="448"/>
      <c r="L48" s="448"/>
    </row>
    <row r="49" spans="1:12" ht="14.25" customHeight="1" x14ac:dyDescent="0.2">
      <c r="A49" s="289" t="s">
        <v>89</v>
      </c>
      <c r="B49" s="32"/>
      <c r="C49" s="112">
        <v>1</v>
      </c>
      <c r="D49" s="140">
        <v>8</v>
      </c>
      <c r="E49" s="452">
        <f>D49*C49</f>
        <v>8</v>
      </c>
      <c r="G49" s="453"/>
      <c r="H49" s="448"/>
      <c r="I49" s="448"/>
      <c r="J49" s="448"/>
      <c r="K49" s="448"/>
      <c r="L49" s="448"/>
    </row>
    <row r="50" spans="1:12" ht="14.25" customHeight="1" x14ac:dyDescent="0.2">
      <c r="A50" s="289"/>
      <c r="B50" s="32"/>
      <c r="C50" s="112">
        <v>0</v>
      </c>
      <c r="D50" s="140">
        <v>0</v>
      </c>
      <c r="E50" s="452">
        <f t="shared" ref="E50:E51" si="2">D50*C50</f>
        <v>0</v>
      </c>
      <c r="G50" s="453"/>
      <c r="H50" s="448"/>
      <c r="I50" s="448"/>
      <c r="J50" s="448"/>
      <c r="K50" s="448"/>
      <c r="L50" s="448"/>
    </row>
    <row r="51" spans="1:12" ht="14.25" customHeight="1" x14ac:dyDescent="0.2">
      <c r="A51" s="289" t="s">
        <v>90</v>
      </c>
      <c r="B51" s="32"/>
      <c r="C51" s="112">
        <v>0</v>
      </c>
      <c r="D51" s="140">
        <v>0</v>
      </c>
      <c r="E51" s="452">
        <f t="shared" si="2"/>
        <v>0</v>
      </c>
      <c r="G51" s="453"/>
      <c r="H51" s="448"/>
      <c r="I51" s="448"/>
      <c r="J51" s="448"/>
      <c r="K51" s="448"/>
      <c r="L51" s="448"/>
    </row>
    <row r="52" spans="1:12" ht="14.25" customHeight="1" x14ac:dyDescent="0.2">
      <c r="A52" s="53"/>
      <c r="B52" s="32"/>
      <c r="C52" s="472"/>
      <c r="D52" s="450"/>
      <c r="E52" s="450"/>
      <c r="G52" s="453"/>
      <c r="H52" s="448"/>
      <c r="I52" s="448"/>
      <c r="J52" s="448"/>
      <c r="K52" s="448"/>
      <c r="L52" s="448"/>
    </row>
    <row r="53" spans="1:12" x14ac:dyDescent="0.2">
      <c r="B53" s="91" t="s">
        <v>263</v>
      </c>
      <c r="C53" s="91" t="s">
        <v>264</v>
      </c>
      <c r="D53" s="431" t="s">
        <v>240</v>
      </c>
      <c r="E53" s="431" t="s">
        <v>241</v>
      </c>
    </row>
    <row r="54" spans="1:12" x14ac:dyDescent="0.2">
      <c r="A54" s="32" t="s">
        <v>80</v>
      </c>
      <c r="B54" s="301">
        <v>3</v>
      </c>
      <c r="C54" s="113">
        <v>3</v>
      </c>
      <c r="D54" s="183">
        <v>29</v>
      </c>
      <c r="E54" s="452">
        <f>(D54*C54)/B54</f>
        <v>29</v>
      </c>
      <c r="H54" s="476"/>
    </row>
    <row r="55" spans="1:12" x14ac:dyDescent="0.2">
      <c r="A55" s="477"/>
      <c r="B55" s="78"/>
      <c r="C55" s="478"/>
      <c r="D55" s="479" t="s">
        <v>67</v>
      </c>
      <c r="E55" s="474"/>
      <c r="H55" s="476"/>
    </row>
    <row r="56" spans="1:12" x14ac:dyDescent="0.2">
      <c r="A56" s="53" t="s">
        <v>98</v>
      </c>
      <c r="B56" s="32"/>
      <c r="C56" s="480"/>
      <c r="D56" s="183">
        <v>34.5</v>
      </c>
      <c r="E56" s="452">
        <f>D56/B54</f>
        <v>11.5</v>
      </c>
      <c r="H56" s="476"/>
    </row>
    <row r="57" spans="1:12" x14ac:dyDescent="0.2">
      <c r="A57" s="477"/>
      <c r="B57" s="481"/>
      <c r="C57" s="29"/>
      <c r="D57" s="308"/>
      <c r="E57" s="448"/>
      <c r="H57" s="476"/>
    </row>
    <row r="58" spans="1:12" x14ac:dyDescent="0.2">
      <c r="A58" s="221" t="s">
        <v>103</v>
      </c>
      <c r="B58" s="434"/>
      <c r="C58" s="434"/>
      <c r="D58" s="434"/>
      <c r="E58" s="436">
        <f>SUM(E22:E57)</f>
        <v>355.17937499999999</v>
      </c>
      <c r="G58" s="53"/>
      <c r="H58" s="53"/>
    </row>
    <row r="59" spans="1:12" x14ac:dyDescent="0.2">
      <c r="A59" s="168" t="s">
        <v>94</v>
      </c>
      <c r="B59" s="144"/>
      <c r="C59" s="144"/>
      <c r="D59" s="144"/>
      <c r="E59" s="144"/>
      <c r="F59" s="144"/>
      <c r="G59" s="53"/>
      <c r="H59" s="53"/>
    </row>
    <row r="60" spans="1:12" x14ac:dyDescent="0.2">
      <c r="A60" s="482"/>
      <c r="B60" s="32"/>
      <c r="C60" s="431" t="s">
        <v>323</v>
      </c>
      <c r="D60" s="431" t="s">
        <v>324</v>
      </c>
      <c r="E60" s="431" t="s">
        <v>241</v>
      </c>
      <c r="G60" s="53"/>
      <c r="H60" s="53"/>
    </row>
    <row r="61" spans="1:12" x14ac:dyDescent="0.2">
      <c r="A61" s="453" t="s">
        <v>1</v>
      </c>
      <c r="B61" s="78"/>
      <c r="C61" s="302">
        <v>32000</v>
      </c>
      <c r="D61" s="254">
        <v>250</v>
      </c>
      <c r="E61" s="452">
        <f>+D61*(C61/80000)</f>
        <v>100</v>
      </c>
      <c r="G61" s="53"/>
      <c r="H61" s="53"/>
    </row>
    <row r="62" spans="1:12" x14ac:dyDescent="0.2">
      <c r="A62" s="453"/>
      <c r="B62" s="453"/>
      <c r="C62" s="91" t="s">
        <v>261</v>
      </c>
      <c r="D62" s="431" t="s">
        <v>262</v>
      </c>
      <c r="E62" s="431" t="s">
        <v>241</v>
      </c>
    </row>
    <row r="63" spans="1:12" x14ac:dyDescent="0.2">
      <c r="A63" s="447" t="s">
        <v>81</v>
      </c>
      <c r="B63" s="447"/>
      <c r="C63" s="112">
        <v>0</v>
      </c>
      <c r="D63" s="254">
        <v>0</v>
      </c>
      <c r="E63" s="569">
        <f>D63*C63</f>
        <v>0</v>
      </c>
    </row>
    <row r="64" spans="1:12" x14ac:dyDescent="0.2">
      <c r="A64" s="447"/>
      <c r="B64" s="447"/>
      <c r="C64" s="320" t="s">
        <v>299</v>
      </c>
      <c r="D64" s="332" t="s">
        <v>262</v>
      </c>
      <c r="E64" s="570" t="s">
        <v>241</v>
      </c>
    </row>
    <row r="65" spans="1:8" x14ac:dyDescent="0.2">
      <c r="A65" s="447" t="s">
        <v>81</v>
      </c>
      <c r="B65" s="447"/>
      <c r="C65" s="112"/>
      <c r="D65" s="254"/>
      <c r="E65" s="569">
        <f>D65*C65</f>
        <v>0</v>
      </c>
    </row>
    <row r="66" spans="1:8" x14ac:dyDescent="0.2">
      <c r="A66" s="483" t="s">
        <v>114</v>
      </c>
      <c r="B66" s="484"/>
      <c r="C66" s="485"/>
      <c r="D66" s="435"/>
      <c r="E66" s="486">
        <f>E61+E63+E65</f>
        <v>100</v>
      </c>
    </row>
    <row r="67" spans="1:8" x14ac:dyDescent="0.2">
      <c r="A67" s="487" t="s">
        <v>92</v>
      </c>
      <c r="B67" s="488"/>
      <c r="C67" s="489"/>
      <c r="D67" s="490"/>
      <c r="E67" s="491"/>
      <c r="F67" s="144"/>
    </row>
    <row r="68" spans="1:8" x14ac:dyDescent="0.2">
      <c r="A68" s="444" t="s">
        <v>2</v>
      </c>
      <c r="B68" s="32"/>
      <c r="C68" s="492"/>
      <c r="D68" s="493"/>
      <c r="E68" s="431" t="s">
        <v>241</v>
      </c>
      <c r="G68" s="29"/>
      <c r="H68" s="29"/>
    </row>
    <row r="69" spans="1:8" x14ac:dyDescent="0.2">
      <c r="A69" s="53" t="s">
        <v>126</v>
      </c>
      <c r="B69" s="32"/>
      <c r="C69" s="492"/>
      <c r="D69" s="493"/>
      <c r="E69" s="307">
        <v>0</v>
      </c>
      <c r="G69" s="29"/>
      <c r="H69" s="29"/>
    </row>
    <row r="70" spans="1:8" x14ac:dyDescent="0.2">
      <c r="A70" s="78" t="s">
        <v>99</v>
      </c>
      <c r="B70" s="32"/>
      <c r="C70" s="492"/>
      <c r="D70" s="493"/>
      <c r="E70" s="140">
        <v>0</v>
      </c>
      <c r="G70" s="29"/>
      <c r="H70" s="29"/>
    </row>
    <row r="71" spans="1:8" x14ac:dyDescent="0.2">
      <c r="A71" s="53" t="s">
        <v>127</v>
      </c>
      <c r="B71" s="32"/>
      <c r="C71" s="472"/>
      <c r="D71" s="494"/>
      <c r="E71" s="140">
        <v>0</v>
      </c>
      <c r="G71" s="29"/>
      <c r="H71" s="29"/>
    </row>
    <row r="72" spans="1:8" x14ac:dyDescent="0.2">
      <c r="A72" s="78" t="s">
        <v>99</v>
      </c>
      <c r="B72" s="32"/>
      <c r="C72" s="472"/>
      <c r="D72" s="494"/>
      <c r="E72" s="140">
        <v>0</v>
      </c>
      <c r="G72" s="29"/>
      <c r="H72" s="29"/>
    </row>
    <row r="73" spans="1:8" x14ac:dyDescent="0.2">
      <c r="A73" s="53" t="s">
        <v>128</v>
      </c>
      <c r="B73" s="32"/>
      <c r="C73" s="472"/>
      <c r="D73" s="494"/>
      <c r="E73" s="140">
        <v>40</v>
      </c>
      <c r="G73" s="29"/>
      <c r="H73" s="29"/>
    </row>
    <row r="74" spans="1:8" x14ac:dyDescent="0.2">
      <c r="A74" s="78" t="s">
        <v>99</v>
      </c>
      <c r="B74" s="32"/>
      <c r="C74" s="472"/>
      <c r="D74" s="494"/>
      <c r="E74" s="140">
        <v>8</v>
      </c>
      <c r="G74" s="29"/>
      <c r="H74" s="29"/>
    </row>
    <row r="75" spans="1:8" x14ac:dyDescent="0.2">
      <c r="A75" s="495" t="s">
        <v>129</v>
      </c>
      <c r="B75" s="427"/>
      <c r="C75" s="457"/>
      <c r="D75" s="496"/>
      <c r="E75" s="140">
        <v>0</v>
      </c>
      <c r="G75" s="53"/>
      <c r="H75" s="53"/>
    </row>
    <row r="76" spans="1:8" x14ac:dyDescent="0.2">
      <c r="A76" s="497" t="s">
        <v>99</v>
      </c>
      <c r="B76" s="427"/>
      <c r="C76" s="457"/>
      <c r="D76" s="496"/>
      <c r="E76" s="140">
        <v>0</v>
      </c>
      <c r="G76" s="29"/>
      <c r="H76" s="29"/>
    </row>
    <row r="77" spans="1:8" x14ac:dyDescent="0.2">
      <c r="A77" s="444" t="s">
        <v>8</v>
      </c>
      <c r="B77" s="32"/>
      <c r="C77" s="472"/>
      <c r="D77" s="427"/>
      <c r="E77" s="254">
        <v>0</v>
      </c>
    </row>
    <row r="78" spans="1:8" x14ac:dyDescent="0.2">
      <c r="A78" s="78" t="s">
        <v>130</v>
      </c>
      <c r="B78" s="32"/>
      <c r="C78" s="472"/>
      <c r="D78" s="427"/>
      <c r="E78" s="254">
        <v>0</v>
      </c>
    </row>
    <row r="79" spans="1:8" x14ac:dyDescent="0.2">
      <c r="A79" s="78" t="s">
        <v>99</v>
      </c>
      <c r="B79" s="32"/>
      <c r="C79" s="472"/>
      <c r="D79" s="427"/>
      <c r="E79" s="254">
        <v>0</v>
      </c>
      <c r="G79" s="308"/>
    </row>
    <row r="80" spans="1:8" x14ac:dyDescent="0.2">
      <c r="A80" s="497" t="s">
        <v>131</v>
      </c>
      <c r="B80" s="427"/>
      <c r="C80" s="457"/>
      <c r="D80" s="496"/>
      <c r="E80" s="140">
        <v>0</v>
      </c>
    </row>
    <row r="81" spans="1:8" x14ac:dyDescent="0.2">
      <c r="A81" s="497" t="s">
        <v>99</v>
      </c>
      <c r="B81" s="427"/>
      <c r="C81" s="457"/>
      <c r="D81" s="496"/>
      <c r="E81" s="140">
        <v>0</v>
      </c>
    </row>
    <row r="82" spans="1:8" x14ac:dyDescent="0.2">
      <c r="A82" s="444" t="s">
        <v>12</v>
      </c>
      <c r="B82" s="32"/>
      <c r="C82" s="472"/>
      <c r="D82" s="427"/>
      <c r="E82" s="254">
        <v>0</v>
      </c>
    </row>
    <row r="83" spans="1:8" ht="13.5" customHeight="1" x14ac:dyDescent="0.2">
      <c r="A83" s="495" t="s">
        <v>132</v>
      </c>
      <c r="B83" s="427"/>
      <c r="C83" s="457"/>
      <c r="D83" s="496"/>
      <c r="E83" s="140">
        <v>0</v>
      </c>
      <c r="H83" s="29"/>
    </row>
    <row r="84" spans="1:8" x14ac:dyDescent="0.2">
      <c r="A84" s="497" t="s">
        <v>99</v>
      </c>
      <c r="B84" s="427"/>
      <c r="C84" s="457"/>
      <c r="D84" s="496"/>
      <c r="E84" s="140">
        <v>0</v>
      </c>
    </row>
    <row r="85" spans="1:8" x14ac:dyDescent="0.2">
      <c r="A85" s="495" t="s">
        <v>30</v>
      </c>
      <c r="B85" s="427"/>
      <c r="C85" s="457"/>
      <c r="D85" s="496"/>
      <c r="E85" s="140">
        <v>0</v>
      </c>
    </row>
    <row r="86" spans="1:8" x14ac:dyDescent="0.2">
      <c r="A86" s="495" t="s">
        <v>31</v>
      </c>
      <c r="B86" s="427"/>
      <c r="C86" s="457"/>
      <c r="D86" s="496"/>
      <c r="E86" s="140">
        <v>0</v>
      </c>
    </row>
    <row r="87" spans="1:8" x14ac:dyDescent="0.2">
      <c r="A87" s="498" t="s">
        <v>119</v>
      </c>
      <c r="B87" s="435"/>
      <c r="C87" s="499"/>
      <c r="D87" s="500"/>
      <c r="E87" s="501">
        <f>SUM(E69:E86)</f>
        <v>48</v>
      </c>
    </row>
    <row r="88" spans="1:8" x14ac:dyDescent="0.2">
      <c r="A88" s="502" t="s">
        <v>10</v>
      </c>
      <c r="B88" s="503"/>
      <c r="C88" s="504"/>
      <c r="D88" s="505"/>
      <c r="E88" s="505"/>
      <c r="F88" s="144"/>
    </row>
    <row r="89" spans="1:8" x14ac:dyDescent="0.2">
      <c r="A89" s="506"/>
      <c r="B89" s="427"/>
      <c r="C89" s="472"/>
      <c r="D89" s="450"/>
      <c r="E89" s="431" t="s">
        <v>241</v>
      </c>
    </row>
    <row r="90" spans="1:8" x14ac:dyDescent="0.2">
      <c r="A90" s="495" t="s">
        <v>118</v>
      </c>
      <c r="B90" s="427"/>
      <c r="C90" s="457"/>
      <c r="D90" s="507"/>
      <c r="E90" s="140">
        <v>0</v>
      </c>
    </row>
    <row r="91" spans="1:8" x14ac:dyDescent="0.2">
      <c r="A91" s="495"/>
      <c r="B91" s="427"/>
      <c r="C91" s="508" t="s">
        <v>116</v>
      </c>
      <c r="D91" s="509" t="s">
        <v>258</v>
      </c>
      <c r="E91" s="431" t="s">
        <v>241</v>
      </c>
    </row>
    <row r="92" spans="1:8" x14ac:dyDescent="0.2">
      <c r="A92" s="29" t="s">
        <v>115</v>
      </c>
      <c r="B92" s="453"/>
      <c r="C92" s="219">
        <v>0</v>
      </c>
      <c r="D92" s="256">
        <v>5.5</v>
      </c>
      <c r="E92" s="455">
        <f>+C92*D92</f>
        <v>0</v>
      </c>
    </row>
    <row r="93" spans="1:8" x14ac:dyDescent="0.2">
      <c r="A93" s="221" t="s">
        <v>117</v>
      </c>
      <c r="B93" s="484"/>
      <c r="C93" s="510"/>
      <c r="D93" s="511"/>
      <c r="E93" s="501">
        <f>E92+E90</f>
        <v>0</v>
      </c>
    </row>
    <row r="94" spans="1:8" ht="15" x14ac:dyDescent="0.25">
      <c r="A94" s="487" t="s">
        <v>93</v>
      </c>
      <c r="B94" s="512"/>
      <c r="C94" s="513"/>
      <c r="D94" s="503"/>
      <c r="E94" s="503"/>
      <c r="F94" s="144"/>
      <c r="H94" s="190"/>
    </row>
    <row r="95" spans="1:8" ht="13.5" customHeight="1" x14ac:dyDescent="0.2">
      <c r="A95" s="482"/>
      <c r="B95" s="32"/>
      <c r="C95" s="427"/>
      <c r="D95" s="427"/>
      <c r="E95" s="431" t="s">
        <v>241</v>
      </c>
    </row>
    <row r="96" spans="1:8" ht="13.5" customHeight="1" x14ac:dyDescent="0.2">
      <c r="A96" s="53" t="s">
        <v>233</v>
      </c>
      <c r="B96" s="32"/>
      <c r="C96" s="427"/>
      <c r="D96" s="427"/>
      <c r="E96" s="258">
        <v>185</v>
      </c>
    </row>
    <row r="97" spans="1:8" x14ac:dyDescent="0.2">
      <c r="A97" s="53" t="s">
        <v>28</v>
      </c>
      <c r="B97" s="32"/>
      <c r="C97" s="457"/>
      <c r="D97" s="507"/>
      <c r="E97" s="140">
        <v>30</v>
      </c>
    </row>
    <row r="98" spans="1:8" x14ac:dyDescent="0.2">
      <c r="A98" s="53" t="s">
        <v>102</v>
      </c>
      <c r="B98" s="32"/>
      <c r="C98" s="457"/>
      <c r="D98" s="507"/>
      <c r="E98" s="140">
        <v>0</v>
      </c>
    </row>
    <row r="99" spans="1:8" ht="15" x14ac:dyDescent="0.25">
      <c r="A99" s="53" t="s">
        <v>91</v>
      </c>
      <c r="B99" s="78" t="s">
        <v>234</v>
      </c>
      <c r="C99" s="457"/>
      <c r="D99" s="507"/>
      <c r="E99" s="140">
        <v>0</v>
      </c>
      <c r="H99" s="514"/>
    </row>
    <row r="100" spans="1:8" ht="15" x14ac:dyDescent="0.25">
      <c r="A100" s="53" t="s">
        <v>101</v>
      </c>
      <c r="B100" s="78"/>
      <c r="C100" s="457"/>
      <c r="D100" s="507"/>
      <c r="E100" s="281">
        <v>1.45</v>
      </c>
      <c r="H100" s="514"/>
    </row>
    <row r="101" spans="1:8" x14ac:dyDescent="0.2">
      <c r="A101" s="483" t="s">
        <v>120</v>
      </c>
      <c r="B101" s="515"/>
      <c r="C101" s="499"/>
      <c r="D101" s="516"/>
      <c r="E101" s="501">
        <f>SUM(E96:E100)</f>
        <v>216.45</v>
      </c>
    </row>
    <row r="102" spans="1:8" x14ac:dyDescent="0.2">
      <c r="A102" s="144"/>
      <c r="B102" s="512"/>
      <c r="C102" s="517"/>
      <c r="D102" s="518"/>
      <c r="E102" s="519"/>
      <c r="F102" s="144"/>
    </row>
    <row r="103" spans="1:8" x14ac:dyDescent="0.2">
      <c r="A103" s="520" t="s">
        <v>11</v>
      </c>
      <c r="B103" s="427"/>
      <c r="C103" s="472"/>
      <c r="D103" s="450"/>
      <c r="E103" s="501">
        <f>E58+E66+E87+E93+E101</f>
        <v>719.62937499999998</v>
      </c>
    </row>
    <row r="104" spans="1:8" x14ac:dyDescent="0.2">
      <c r="A104" s="520"/>
      <c r="B104" s="427"/>
      <c r="C104" s="472"/>
      <c r="D104" s="450"/>
      <c r="E104" s="521"/>
    </row>
    <row r="105" spans="1:8" x14ac:dyDescent="0.2">
      <c r="A105" s="168" t="s">
        <v>100</v>
      </c>
      <c r="B105" s="144"/>
      <c r="C105" s="522"/>
      <c r="D105" s="512"/>
      <c r="E105" s="144"/>
      <c r="F105" s="144"/>
    </row>
    <row r="106" spans="1:8" x14ac:dyDescent="0.2">
      <c r="A106" s="523" t="s">
        <v>121</v>
      </c>
      <c r="C106" s="463" t="s">
        <v>257</v>
      </c>
      <c r="D106" s="524" t="s">
        <v>256</v>
      </c>
      <c r="E106" s="431" t="s">
        <v>241</v>
      </c>
    </row>
    <row r="107" spans="1:8" x14ac:dyDescent="0.2">
      <c r="A107" s="289" t="s">
        <v>82</v>
      </c>
      <c r="B107" s="32"/>
      <c r="C107" s="112">
        <v>1</v>
      </c>
      <c r="D107" s="139">
        <v>20</v>
      </c>
      <c r="E107" s="408">
        <f>C107*D107</f>
        <v>20</v>
      </c>
    </row>
    <row r="108" spans="1:8" x14ac:dyDescent="0.2">
      <c r="A108" s="289" t="s">
        <v>9</v>
      </c>
      <c r="B108" s="32"/>
      <c r="C108" s="112">
        <v>1</v>
      </c>
      <c r="D108" s="140">
        <v>17.5</v>
      </c>
      <c r="E108" s="408">
        <f t="shared" ref="E108:E115" si="3">C108*D108</f>
        <v>17.5</v>
      </c>
    </row>
    <row r="109" spans="1:8" x14ac:dyDescent="0.2">
      <c r="A109" s="289" t="s">
        <v>42</v>
      </c>
      <c r="B109" s="32"/>
      <c r="C109" s="112">
        <v>1</v>
      </c>
      <c r="D109" s="140">
        <v>25</v>
      </c>
      <c r="E109" s="408">
        <f t="shared" si="3"/>
        <v>25</v>
      </c>
    </row>
    <row r="110" spans="1:8" x14ac:dyDescent="0.2">
      <c r="A110" s="289"/>
      <c r="B110" s="32"/>
      <c r="C110" s="112"/>
      <c r="D110" s="140">
        <v>0</v>
      </c>
      <c r="E110" s="408">
        <f t="shared" si="3"/>
        <v>0</v>
      </c>
    </row>
    <row r="111" spans="1:8" x14ac:dyDescent="0.2">
      <c r="A111" s="289"/>
      <c r="B111" s="32"/>
      <c r="C111" s="112"/>
      <c r="D111" s="140">
        <v>0</v>
      </c>
      <c r="E111" s="408">
        <f t="shared" si="3"/>
        <v>0</v>
      </c>
    </row>
    <row r="112" spans="1:8" ht="14.25" customHeight="1" x14ac:dyDescent="0.2">
      <c r="A112" s="303" t="s">
        <v>108</v>
      </c>
      <c r="B112" s="32"/>
      <c r="C112" s="112">
        <v>1</v>
      </c>
      <c r="D112" s="140">
        <v>18</v>
      </c>
      <c r="E112" s="408">
        <f t="shared" si="3"/>
        <v>18</v>
      </c>
    </row>
    <row r="113" spans="1:19" ht="14.25" customHeight="1" x14ac:dyDescent="0.2">
      <c r="A113" s="303"/>
      <c r="B113" s="32"/>
      <c r="C113" s="112"/>
      <c r="D113" s="140">
        <v>0</v>
      </c>
      <c r="E113" s="408">
        <v>0</v>
      </c>
    </row>
    <row r="114" spans="1:19" ht="14.25" customHeight="1" x14ac:dyDescent="0.2">
      <c r="A114" s="303"/>
      <c r="B114" s="32"/>
      <c r="C114" s="112"/>
      <c r="D114" s="140">
        <v>0</v>
      </c>
      <c r="E114" s="408">
        <v>0</v>
      </c>
    </row>
    <row r="115" spans="1:19" ht="12" customHeight="1" x14ac:dyDescent="0.2">
      <c r="A115" s="303"/>
      <c r="B115" s="427"/>
      <c r="C115" s="112"/>
      <c r="D115" s="140">
        <v>0</v>
      </c>
      <c r="E115" s="408">
        <f t="shared" si="3"/>
        <v>0</v>
      </c>
    </row>
    <row r="116" spans="1:19" ht="12.75" customHeight="1" x14ac:dyDescent="0.2">
      <c r="A116" s="289"/>
      <c r="B116" s="427"/>
      <c r="C116" s="112"/>
      <c r="D116" s="140">
        <v>0</v>
      </c>
      <c r="E116" s="452">
        <f>C116*D116</f>
        <v>0</v>
      </c>
    </row>
    <row r="117" spans="1:19" ht="12" customHeight="1" x14ac:dyDescent="0.2">
      <c r="A117" s="520" t="s">
        <v>184</v>
      </c>
      <c r="B117" s="427"/>
      <c r="C117" s="472"/>
      <c r="D117" s="427"/>
      <c r="E117" s="501">
        <f>SUM(E107:E116)</f>
        <v>80.5</v>
      </c>
      <c r="H117" s="563" t="s">
        <v>337</v>
      </c>
    </row>
    <row r="118" spans="1:19" ht="12" customHeight="1" x14ac:dyDescent="0.2">
      <c r="A118" s="525"/>
      <c r="B118" s="427"/>
      <c r="C118" s="472"/>
      <c r="D118" s="427"/>
      <c r="E118" s="521"/>
      <c r="H118" s="564" t="s">
        <v>357</v>
      </c>
    </row>
    <row r="119" spans="1:19" ht="12.75" customHeight="1" x14ac:dyDescent="0.2">
      <c r="A119" s="520" t="s">
        <v>271</v>
      </c>
      <c r="B119" s="427"/>
      <c r="C119" s="463" t="s">
        <v>257</v>
      </c>
      <c r="D119" s="524" t="s">
        <v>256</v>
      </c>
      <c r="E119" s="431" t="s">
        <v>241</v>
      </c>
    </row>
    <row r="120" spans="1:19" ht="12.75" customHeight="1" x14ac:dyDescent="0.2">
      <c r="A120" s="303" t="s">
        <v>326</v>
      </c>
      <c r="B120" s="427"/>
      <c r="C120" s="112">
        <v>1</v>
      </c>
      <c r="D120" s="141">
        <v>220</v>
      </c>
      <c r="E120" s="452">
        <f>C120*D120</f>
        <v>220</v>
      </c>
      <c r="H120" s="563" t="s">
        <v>335</v>
      </c>
    </row>
    <row r="121" spans="1:19" ht="12.75" customHeight="1" x14ac:dyDescent="0.2">
      <c r="A121" s="289"/>
      <c r="B121" s="78"/>
      <c r="C121" s="112"/>
      <c r="D121" s="141">
        <v>0</v>
      </c>
      <c r="E121" s="452">
        <v>0</v>
      </c>
      <c r="H121" s="564" t="s">
        <v>336</v>
      </c>
      <c r="S121" s="32"/>
    </row>
    <row r="122" spans="1:19" ht="12.75" customHeight="1" x14ac:dyDescent="0.2">
      <c r="A122" s="289" t="s">
        <v>34</v>
      </c>
      <c r="B122" s="32"/>
      <c r="C122" s="112"/>
      <c r="D122" s="141">
        <v>0</v>
      </c>
      <c r="E122" s="452">
        <v>0</v>
      </c>
      <c r="H122" s="57" t="s">
        <v>359</v>
      </c>
      <c r="S122" s="32"/>
    </row>
    <row r="123" spans="1:19" ht="12.75" customHeight="1" x14ac:dyDescent="0.2">
      <c r="A123" s="289" t="s">
        <v>354</v>
      </c>
      <c r="B123" s="78"/>
      <c r="C123" s="112"/>
      <c r="D123" s="141">
        <v>0</v>
      </c>
      <c r="E123" s="452">
        <v>0</v>
      </c>
      <c r="S123" s="32"/>
    </row>
    <row r="124" spans="1:19" ht="12.75" customHeight="1" x14ac:dyDescent="0.2">
      <c r="A124" s="289" t="s">
        <v>355</v>
      </c>
      <c r="B124" s="78"/>
      <c r="C124" s="112"/>
      <c r="D124" s="141">
        <v>0</v>
      </c>
      <c r="E124" s="452">
        <v>0</v>
      </c>
      <c r="H124" t="s">
        <v>360</v>
      </c>
      <c r="S124" s="32"/>
    </row>
    <row r="125" spans="1:19" ht="12.75" customHeight="1" x14ac:dyDescent="0.2">
      <c r="A125" s="289"/>
      <c r="B125" s="78"/>
      <c r="C125" s="112"/>
      <c r="D125" s="141">
        <v>0</v>
      </c>
      <c r="E125" s="452">
        <v>0</v>
      </c>
      <c r="H125" s="564" t="s">
        <v>361</v>
      </c>
      <c r="S125" s="32"/>
    </row>
    <row r="126" spans="1:19" ht="12.75" customHeight="1" x14ac:dyDescent="0.2">
      <c r="A126" s="289"/>
      <c r="B126" s="78"/>
      <c r="C126" s="112"/>
      <c r="D126" s="140">
        <v>0</v>
      </c>
      <c r="E126" s="452">
        <v>0</v>
      </c>
      <c r="S126" s="32"/>
    </row>
    <row r="127" spans="1:19" ht="12.75" customHeight="1" x14ac:dyDescent="0.2">
      <c r="A127" s="523" t="s">
        <v>270</v>
      </c>
      <c r="B127" s="78"/>
      <c r="C127" s="457"/>
      <c r="D127" s="496"/>
      <c r="E127" s="501">
        <f>SUM(E120:E126)</f>
        <v>220</v>
      </c>
      <c r="H127" s="563" t="s">
        <v>338</v>
      </c>
      <c r="S127" s="32"/>
    </row>
    <row r="128" spans="1:19" ht="12.75" customHeight="1" x14ac:dyDescent="0.2">
      <c r="A128" s="78"/>
      <c r="B128" s="78"/>
      <c r="C128" s="457"/>
      <c r="D128" s="496"/>
      <c r="E128" s="458"/>
      <c r="H128" s="564" t="s">
        <v>339</v>
      </c>
      <c r="S128" s="32"/>
    </row>
    <row r="129" spans="1:19" ht="12.75" customHeight="1" x14ac:dyDescent="0.2">
      <c r="A129" s="526" t="s">
        <v>272</v>
      </c>
      <c r="B129" s="78"/>
      <c r="C129" s="508" t="s">
        <v>269</v>
      </c>
      <c r="D129" s="509" t="s">
        <v>268</v>
      </c>
      <c r="E129" s="431" t="s">
        <v>241</v>
      </c>
      <c r="S129" s="32"/>
    </row>
    <row r="130" spans="1:19" ht="12.75" customHeight="1" x14ac:dyDescent="0.2">
      <c r="A130" s="289"/>
      <c r="B130" s="78"/>
      <c r="C130" s="112"/>
      <c r="D130" s="141">
        <v>0</v>
      </c>
      <c r="E130" s="452">
        <f>IFERROR(D130/C130,0)</f>
        <v>0</v>
      </c>
      <c r="H130" s="563" t="s">
        <v>340</v>
      </c>
      <c r="S130" s="32"/>
    </row>
    <row r="131" spans="1:19" ht="12.75" customHeight="1" x14ac:dyDescent="0.2">
      <c r="A131" s="289"/>
      <c r="B131" s="78"/>
      <c r="C131" s="112"/>
      <c r="D131" s="141">
        <v>0</v>
      </c>
      <c r="E131" s="452">
        <f t="shared" ref="E131:E135" si="4">IFERROR(D131/C131,0)</f>
        <v>0</v>
      </c>
      <c r="H131" s="564" t="s">
        <v>358</v>
      </c>
      <c r="S131" s="32"/>
    </row>
    <row r="132" spans="1:19" ht="12.75" customHeight="1" x14ac:dyDescent="0.2">
      <c r="A132" s="289"/>
      <c r="B132" s="78"/>
      <c r="C132" s="112"/>
      <c r="D132" s="141">
        <v>0</v>
      </c>
      <c r="E132" s="452">
        <f t="shared" si="4"/>
        <v>0</v>
      </c>
      <c r="S132" s="32"/>
    </row>
    <row r="133" spans="1:19" ht="12.75" customHeight="1" x14ac:dyDescent="0.2">
      <c r="A133" s="289"/>
      <c r="B133" s="78"/>
      <c r="C133" s="112"/>
      <c r="D133" s="141">
        <v>0</v>
      </c>
      <c r="E133" s="452">
        <f t="shared" si="4"/>
        <v>0</v>
      </c>
      <c r="S133" s="32"/>
    </row>
    <row r="134" spans="1:19" ht="12.75" customHeight="1" x14ac:dyDescent="0.2">
      <c r="A134" s="289"/>
      <c r="B134" s="78"/>
      <c r="C134" s="112"/>
      <c r="D134" s="141">
        <v>0</v>
      </c>
      <c r="E134" s="452">
        <f t="shared" si="4"/>
        <v>0</v>
      </c>
      <c r="S134" s="32"/>
    </row>
    <row r="135" spans="1:19" ht="12.75" customHeight="1" x14ac:dyDescent="0.2">
      <c r="A135" s="289"/>
      <c r="B135" s="78"/>
      <c r="C135" s="112"/>
      <c r="D135" s="141">
        <v>0</v>
      </c>
      <c r="E135" s="452">
        <f t="shared" si="4"/>
        <v>0</v>
      </c>
      <c r="S135" s="32"/>
    </row>
    <row r="136" spans="1:19" ht="12.75" customHeight="1" x14ac:dyDescent="0.2">
      <c r="A136" s="289"/>
      <c r="B136" s="78"/>
      <c r="C136" s="112"/>
      <c r="D136" s="140">
        <v>0</v>
      </c>
      <c r="E136" s="452">
        <v>0</v>
      </c>
      <c r="S136" s="32"/>
    </row>
    <row r="137" spans="1:19" ht="12.75" customHeight="1" x14ac:dyDescent="0.2">
      <c r="A137" s="523" t="s">
        <v>273</v>
      </c>
      <c r="B137" s="78"/>
      <c r="C137" s="457"/>
      <c r="D137" s="496"/>
      <c r="E137" s="501">
        <f>SUM(E130:E136)</f>
        <v>0</v>
      </c>
      <c r="S137" s="32"/>
    </row>
    <row r="138" spans="1:19" ht="12.75" customHeight="1" x14ac:dyDescent="0.2">
      <c r="A138" s="78"/>
      <c r="B138" s="78"/>
      <c r="C138" s="457"/>
      <c r="D138" s="496"/>
      <c r="E138" s="458"/>
      <c r="S138" s="32"/>
    </row>
    <row r="139" spans="1:19" ht="12.75" customHeight="1" x14ac:dyDescent="0.2">
      <c r="A139" s="527" t="s">
        <v>274</v>
      </c>
      <c r="B139" s="78"/>
      <c r="C139" s="457"/>
      <c r="D139" s="509" t="s">
        <v>240</v>
      </c>
      <c r="E139" s="431" t="s">
        <v>241</v>
      </c>
      <c r="S139" s="32"/>
    </row>
    <row r="140" spans="1:19" ht="12.75" customHeight="1" x14ac:dyDescent="0.2">
      <c r="A140" s="289"/>
      <c r="B140" s="78"/>
      <c r="C140" s="457"/>
      <c r="D140" s="140">
        <v>0</v>
      </c>
      <c r="E140" s="452">
        <f>D140*$C$14</f>
        <v>0</v>
      </c>
      <c r="S140" s="32"/>
    </row>
    <row r="141" spans="1:19" ht="12.75" customHeight="1" x14ac:dyDescent="0.2">
      <c r="A141" s="289"/>
      <c r="B141" s="78"/>
      <c r="C141" s="457"/>
      <c r="D141" s="140">
        <v>0</v>
      </c>
      <c r="E141" s="452">
        <f t="shared" ref="E141:E145" si="5">D141*$C$14</f>
        <v>0</v>
      </c>
      <c r="S141" s="32"/>
    </row>
    <row r="142" spans="1:19" ht="12.75" customHeight="1" x14ac:dyDescent="0.2">
      <c r="A142" s="289"/>
      <c r="B142" s="78"/>
      <c r="C142" s="457"/>
      <c r="D142" s="140">
        <v>0</v>
      </c>
      <c r="E142" s="452">
        <f t="shared" si="5"/>
        <v>0</v>
      </c>
      <c r="S142" s="32"/>
    </row>
    <row r="143" spans="1:19" ht="12.75" customHeight="1" x14ac:dyDescent="0.2">
      <c r="A143" s="289"/>
      <c r="B143" s="78"/>
      <c r="C143" s="457"/>
      <c r="D143" s="140">
        <v>0</v>
      </c>
      <c r="E143" s="452">
        <f t="shared" si="5"/>
        <v>0</v>
      </c>
      <c r="S143" s="32"/>
    </row>
    <row r="144" spans="1:19" ht="12.75" customHeight="1" x14ac:dyDescent="0.2">
      <c r="A144" s="289"/>
      <c r="B144" s="78"/>
      <c r="C144" s="457"/>
      <c r="D144" s="140">
        <v>0</v>
      </c>
      <c r="E144" s="452">
        <f t="shared" si="5"/>
        <v>0</v>
      </c>
      <c r="S144" s="32"/>
    </row>
    <row r="145" spans="1:19" ht="12.75" customHeight="1" x14ac:dyDescent="0.2">
      <c r="A145" s="289"/>
      <c r="B145" s="78"/>
      <c r="C145" s="457"/>
      <c r="D145" s="140">
        <v>0</v>
      </c>
      <c r="E145" s="452">
        <f t="shared" si="5"/>
        <v>0</v>
      </c>
      <c r="S145" s="32"/>
    </row>
    <row r="146" spans="1:19" ht="12.75" customHeight="1" x14ac:dyDescent="0.2">
      <c r="A146" s="523" t="s">
        <v>275</v>
      </c>
      <c r="B146" s="78"/>
      <c r="C146" s="457"/>
      <c r="D146" s="496"/>
      <c r="E146" s="501">
        <f>SUM(E140:E145)</f>
        <v>0</v>
      </c>
      <c r="S146" s="32"/>
    </row>
    <row r="147" spans="1:19" ht="12.75" customHeight="1" x14ac:dyDescent="0.2">
      <c r="A147" s="78"/>
      <c r="B147" s="78"/>
      <c r="C147" s="457"/>
      <c r="D147" s="496"/>
      <c r="E147" s="458"/>
      <c r="S147" s="32"/>
    </row>
    <row r="148" spans="1:19" ht="12.75" customHeight="1" x14ac:dyDescent="0.2">
      <c r="A148" s="523" t="s">
        <v>34</v>
      </c>
      <c r="B148" s="91" t="s">
        <v>276</v>
      </c>
      <c r="C148" s="508" t="s">
        <v>124</v>
      </c>
      <c r="D148" s="509" t="s">
        <v>254</v>
      </c>
      <c r="E148" s="431" t="s">
        <v>241</v>
      </c>
      <c r="S148" s="32"/>
    </row>
    <row r="149" spans="1:19" ht="12.75" customHeight="1" x14ac:dyDescent="0.2">
      <c r="A149" s="289"/>
      <c r="B149" s="297">
        <v>20</v>
      </c>
      <c r="C149" s="112">
        <v>0</v>
      </c>
      <c r="D149" s="140">
        <v>4</v>
      </c>
      <c r="E149" s="452">
        <f>((C149*D149)*(C14/B149))</f>
        <v>0</v>
      </c>
      <c r="S149" s="32"/>
    </row>
    <row r="150" spans="1:19" ht="12.75" customHeight="1" x14ac:dyDescent="0.2">
      <c r="A150" s="326"/>
      <c r="B150" s="297">
        <v>10</v>
      </c>
      <c r="C150" s="123"/>
      <c r="D150" s="259">
        <v>0</v>
      </c>
      <c r="E150" s="455">
        <f>((C150*D150)*(C14/B150))</f>
        <v>0</v>
      </c>
      <c r="S150" s="32"/>
    </row>
    <row r="151" spans="1:19" ht="12.75" customHeight="1" x14ac:dyDescent="0.2">
      <c r="A151" s="483" t="s">
        <v>123</v>
      </c>
      <c r="B151" s="515"/>
      <c r="C151" s="499"/>
      <c r="D151" s="516"/>
      <c r="E151" s="501">
        <f>E127+E137+E146+E149+E150</f>
        <v>220</v>
      </c>
      <c r="S151" s="32"/>
    </row>
    <row r="152" spans="1:19" ht="12.75" customHeight="1" x14ac:dyDescent="0.2">
      <c r="A152" s="487" t="s">
        <v>157</v>
      </c>
      <c r="B152" s="488"/>
      <c r="C152" s="489"/>
      <c r="D152" s="490"/>
      <c r="E152" s="505"/>
      <c r="F152" s="144"/>
      <c r="S152" s="32"/>
    </row>
    <row r="153" spans="1:19" ht="12.75" customHeight="1" x14ac:dyDescent="0.2">
      <c r="A153" s="78"/>
      <c r="B153" s="78"/>
      <c r="C153" s="91" t="s">
        <v>277</v>
      </c>
      <c r="D153" s="508" t="s">
        <v>278</v>
      </c>
      <c r="E153" s="431" t="s">
        <v>241</v>
      </c>
      <c r="S153" s="32"/>
    </row>
    <row r="154" spans="1:19" ht="12.75" customHeight="1" x14ac:dyDescent="0.2">
      <c r="A154" s="289" t="s">
        <v>140</v>
      </c>
      <c r="B154" s="78"/>
      <c r="C154" s="257">
        <v>260</v>
      </c>
      <c r="D154" s="258">
        <v>1000</v>
      </c>
      <c r="E154" s="528">
        <f>(D154/C154)*C14</f>
        <v>84.615384615384613</v>
      </c>
      <c r="S154" s="32"/>
    </row>
    <row r="155" spans="1:19" ht="12.75" customHeight="1" x14ac:dyDescent="0.25">
      <c r="A155" s="289" t="s">
        <v>141</v>
      </c>
      <c r="B155" s="78"/>
      <c r="C155" s="112">
        <v>400</v>
      </c>
      <c r="D155" s="140">
        <v>0</v>
      </c>
      <c r="E155" s="452">
        <f>(C155*D155)*$C$14</f>
        <v>0</v>
      </c>
      <c r="H155" s="273" t="s">
        <v>144</v>
      </c>
      <c r="I155" s="529"/>
      <c r="J155" s="529"/>
      <c r="K155" s="529"/>
      <c r="L155" s="530"/>
      <c r="M155" s="531"/>
      <c r="S155" s="32"/>
    </row>
    <row r="156" spans="1:19" ht="12.75" customHeight="1" x14ac:dyDescent="0.25">
      <c r="A156" s="532"/>
      <c r="B156" s="78"/>
      <c r="C156" s="508" t="s">
        <v>280</v>
      </c>
      <c r="D156" s="533" t="s">
        <v>279</v>
      </c>
      <c r="E156" s="458"/>
      <c r="H156" s="265" t="s">
        <v>145</v>
      </c>
      <c r="I156" s="534"/>
      <c r="J156" s="534"/>
      <c r="K156" s="267" t="s">
        <v>154</v>
      </c>
      <c r="L156" s="530"/>
      <c r="M156" s="531"/>
      <c r="S156" s="32"/>
    </row>
    <row r="157" spans="1:19" ht="12.75" customHeight="1" x14ac:dyDescent="0.25">
      <c r="A157" s="289" t="s">
        <v>179</v>
      </c>
      <c r="B157" s="78"/>
      <c r="C157" s="112"/>
      <c r="D157" s="140">
        <v>0</v>
      </c>
      <c r="E157" s="452">
        <f>(C157*D157)*$C$14</f>
        <v>0</v>
      </c>
      <c r="H157" s="535" t="s">
        <v>146</v>
      </c>
      <c r="I157" s="534"/>
      <c r="J157" s="534"/>
      <c r="K157" s="534" t="s">
        <v>147</v>
      </c>
      <c r="L157" s="534"/>
      <c r="M157" s="536"/>
      <c r="S157" s="32"/>
    </row>
    <row r="158" spans="1:19" ht="12.75" customHeight="1" x14ac:dyDescent="0.25">
      <c r="A158" s="78"/>
      <c r="B158" s="78"/>
      <c r="C158" s="537"/>
      <c r="D158" s="509" t="s">
        <v>155</v>
      </c>
      <c r="E158" s="431" t="s">
        <v>241</v>
      </c>
      <c r="H158" s="535" t="s">
        <v>148</v>
      </c>
      <c r="I158" s="534"/>
      <c r="J158" s="534"/>
      <c r="K158" s="534" t="s">
        <v>149</v>
      </c>
      <c r="L158" s="534"/>
      <c r="M158" s="536"/>
      <c r="S158" s="32"/>
    </row>
    <row r="159" spans="1:19" ht="12.75" customHeight="1" x14ac:dyDescent="0.25">
      <c r="A159" s="78" t="s">
        <v>214</v>
      </c>
      <c r="B159" s="538"/>
      <c r="C159" s="457"/>
      <c r="D159" s="377">
        <v>0.1</v>
      </c>
      <c r="E159" s="539">
        <f>E16*D159</f>
        <v>121</v>
      </c>
      <c r="H159" s="535" t="s">
        <v>150</v>
      </c>
      <c r="I159" s="534"/>
      <c r="J159" s="534"/>
      <c r="K159" s="534" t="s">
        <v>151</v>
      </c>
      <c r="L159" s="534"/>
      <c r="M159" s="536"/>
      <c r="S159" s="32"/>
    </row>
    <row r="160" spans="1:19" ht="12.75" customHeight="1" x14ac:dyDescent="0.25">
      <c r="A160" s="540" t="s">
        <v>104</v>
      </c>
      <c r="B160" s="488"/>
      <c r="C160" s="206"/>
      <c r="D160" s="207"/>
      <c r="E160" s="541"/>
      <c r="F160" s="144"/>
      <c r="H160" s="542" t="s">
        <v>152</v>
      </c>
      <c r="I160" s="543"/>
      <c r="J160" s="543"/>
      <c r="K160" s="543" t="s">
        <v>153</v>
      </c>
      <c r="L160" s="543"/>
      <c r="M160" s="544"/>
      <c r="S160" s="32"/>
    </row>
    <row r="161" spans="1:19" ht="12.75" customHeight="1" x14ac:dyDescent="0.2">
      <c r="A161" s="78"/>
      <c r="B161" s="78"/>
      <c r="C161" s="508" t="s">
        <v>251</v>
      </c>
      <c r="D161" s="509" t="s">
        <v>250</v>
      </c>
      <c r="E161" s="431" t="s">
        <v>241</v>
      </c>
      <c r="G161" s="29"/>
      <c r="H161" s="275" t="s">
        <v>156</v>
      </c>
      <c r="S161" s="32"/>
    </row>
    <row r="162" spans="1:19" ht="12.75" customHeight="1" x14ac:dyDescent="0.2">
      <c r="A162" s="365" t="s">
        <v>45</v>
      </c>
      <c r="B162" s="545"/>
      <c r="C162" s="240">
        <v>1.5</v>
      </c>
      <c r="D162" s="140">
        <v>15</v>
      </c>
      <c r="E162" s="452">
        <f>C162*D162</f>
        <v>22.5</v>
      </c>
      <c r="S162" s="32"/>
    </row>
    <row r="163" spans="1:19" ht="12.75" customHeight="1" x14ac:dyDescent="0.2">
      <c r="A163" s="488"/>
      <c r="B163" s="440"/>
      <c r="C163" s="489"/>
      <c r="D163" s="490"/>
      <c r="E163" s="546"/>
      <c r="F163" s="144"/>
    </row>
    <row r="164" spans="1:19" ht="12.75" customHeight="1" x14ac:dyDescent="0.2">
      <c r="A164" s="53" t="s">
        <v>113</v>
      </c>
      <c r="C164" s="327">
        <v>5.1999999999999998E-2</v>
      </c>
      <c r="E164" s="408">
        <f>(C164*0.67)*(E103+(0.2*E117))</f>
        <v>25.632811425000003</v>
      </c>
      <c r="G164" s="136" t="s">
        <v>59</v>
      </c>
      <c r="H164" s="261"/>
      <c r="I164" s="137"/>
      <c r="J164" s="137"/>
      <c r="K164" s="137"/>
      <c r="L164" s="137"/>
      <c r="M164" s="138"/>
    </row>
    <row r="165" spans="1:19" ht="12.75" customHeight="1" x14ac:dyDescent="0.2">
      <c r="A165" s="477"/>
      <c r="E165" s="448"/>
      <c r="G165" s="32"/>
      <c r="H165" s="32"/>
      <c r="I165" s="547"/>
      <c r="J165" s="547"/>
      <c r="K165" s="32"/>
      <c r="L165" s="547"/>
      <c r="M165" s="547"/>
    </row>
    <row r="166" spans="1:19" ht="12.75" customHeight="1" x14ac:dyDescent="0.2">
      <c r="A166" s="53" t="s">
        <v>85</v>
      </c>
      <c r="B166" s="32"/>
      <c r="C166" s="537"/>
      <c r="D166" s="507"/>
      <c r="E166" s="436">
        <f>E16*0.05</f>
        <v>60.5</v>
      </c>
    </row>
    <row r="167" spans="1:19" ht="12.75" customHeight="1" x14ac:dyDescent="0.2">
      <c r="A167" s="29" t="s">
        <v>232</v>
      </c>
      <c r="C167" s="465"/>
      <c r="E167" s="436">
        <f>E103+E117+E151+E154+E155+E157+E159+E162+E164+E166</f>
        <v>1334.3775710403845</v>
      </c>
    </row>
    <row r="168" spans="1:19" ht="12.75" customHeight="1" x14ac:dyDescent="0.2">
      <c r="A168" s="29" t="s">
        <v>231</v>
      </c>
      <c r="D168" s="465"/>
      <c r="E168" s="436">
        <f>E16-E167</f>
        <v>-124.37757104038451</v>
      </c>
    </row>
    <row r="169" spans="1:19" ht="14.25" x14ac:dyDescent="0.2">
      <c r="A169" s="548"/>
      <c r="C169" s="431"/>
      <c r="D169" s="431"/>
      <c r="E169" s="549"/>
    </row>
    <row r="170" spans="1:19" x14ac:dyDescent="0.2">
      <c r="A170" s="53" t="s">
        <v>142</v>
      </c>
      <c r="B170" s="32"/>
      <c r="C170" s="457"/>
      <c r="D170" s="550"/>
      <c r="E170" s="551">
        <f>E167/C14</f>
        <v>60.653525956381117</v>
      </c>
    </row>
    <row r="171" spans="1:19" x14ac:dyDescent="0.2">
      <c r="A171" s="29" t="s">
        <v>206</v>
      </c>
      <c r="B171" s="32"/>
      <c r="E171" s="436">
        <f>E167/C15</f>
        <v>173.29578844680319</v>
      </c>
    </row>
    <row r="172" spans="1:19" x14ac:dyDescent="0.2">
      <c r="C172" s="595" t="s">
        <v>26</v>
      </c>
      <c r="D172" s="596"/>
      <c r="E172" s="596"/>
      <c r="F172" s="596"/>
      <c r="G172" s="597"/>
    </row>
    <row r="173" spans="1:19" x14ac:dyDescent="0.2">
      <c r="C173" s="418"/>
      <c r="D173" s="419"/>
      <c r="E173" s="419"/>
      <c r="F173" s="419"/>
      <c r="G173" s="420"/>
    </row>
    <row r="174" spans="1:19" x14ac:dyDescent="0.2">
      <c r="C174" s="595" t="s">
        <v>18</v>
      </c>
      <c r="D174" s="596"/>
      <c r="E174" s="596"/>
      <c r="F174" s="596"/>
      <c r="G174" s="597"/>
    </row>
    <row r="175" spans="1:19" x14ac:dyDescent="0.2">
      <c r="A175" s="603" t="s">
        <v>24</v>
      </c>
      <c r="B175" s="604"/>
      <c r="C175" s="36"/>
      <c r="D175" s="36"/>
      <c r="E175" s="36"/>
      <c r="F175" s="36"/>
      <c r="G175" s="36"/>
    </row>
    <row r="176" spans="1:19" x14ac:dyDescent="0.2">
      <c r="A176" s="357" t="s">
        <v>27</v>
      </c>
      <c r="B176" s="358" t="s">
        <v>70</v>
      </c>
      <c r="C176" s="595" t="s">
        <v>26</v>
      </c>
      <c r="D176" s="596"/>
      <c r="E176" s="596"/>
      <c r="F176" s="596"/>
      <c r="G176" s="597"/>
    </row>
    <row r="177" spans="1:7" x14ac:dyDescent="0.2">
      <c r="A177" s="552" t="s">
        <v>21</v>
      </c>
      <c r="B177" s="553">
        <f>C14*1.2</f>
        <v>26.4</v>
      </c>
      <c r="C177" s="41">
        <f>(C$182*$B177)-$E$167</f>
        <v>-172.7775710403846</v>
      </c>
      <c r="D177" s="41">
        <f>(D$182*B177)-$E$167</f>
        <v>-27.577571040384555</v>
      </c>
      <c r="E177" s="41">
        <f>(E$182*$B177)-E$167</f>
        <v>117.62242895961549</v>
      </c>
      <c r="F177" s="41">
        <f>(F$182*$B177)-E$167</f>
        <v>262.82242895961554</v>
      </c>
      <c r="G177" s="41">
        <f>(G$182*B177)-E$167</f>
        <v>408.02242895961535</v>
      </c>
    </row>
    <row r="178" spans="1:7" x14ac:dyDescent="0.2">
      <c r="A178" s="552" t="s">
        <v>20</v>
      </c>
      <c r="B178" s="553">
        <f>C14*1.1</f>
        <v>24.200000000000003</v>
      </c>
      <c r="C178" s="41">
        <f>(C$182*B178)-$E$167</f>
        <v>-269.57757104038433</v>
      </c>
      <c r="D178" s="41">
        <f>(D$182*B178)-$E$167</f>
        <v>-136.47757104038442</v>
      </c>
      <c r="E178" s="41">
        <f>(E$182*$B178)-E$167</f>
        <v>-3.3775710403842822</v>
      </c>
      <c r="F178" s="41">
        <f>(F$182*$B178)-E$167</f>
        <v>129.72242895961585</v>
      </c>
      <c r="G178" s="41">
        <f>(G$182*B178)-E$167</f>
        <v>262.82242895961576</v>
      </c>
    </row>
    <row r="179" spans="1:7" x14ac:dyDescent="0.2">
      <c r="A179" s="37"/>
      <c r="B179" s="553">
        <f>C14</f>
        <v>22</v>
      </c>
      <c r="C179" s="41">
        <f>(C$182*B179)-$E$167</f>
        <v>-366.37757104038451</v>
      </c>
      <c r="D179" s="41">
        <f>(D$182*B179)-$E$167</f>
        <v>-245.37757104038451</v>
      </c>
      <c r="E179" s="554">
        <f>(E$182*$B179)-E$167</f>
        <v>-124.37757104038451</v>
      </c>
      <c r="F179" s="41">
        <f>(F$182*$B179)-E$167</f>
        <v>-3.3775710403842822</v>
      </c>
      <c r="G179" s="41">
        <f>(G$182*B179)-E$167</f>
        <v>117.62242895961549</v>
      </c>
    </row>
    <row r="180" spans="1:7" x14ac:dyDescent="0.2">
      <c r="A180" s="552" t="s">
        <v>22</v>
      </c>
      <c r="B180" s="553">
        <f>C14*0.9</f>
        <v>19.8</v>
      </c>
      <c r="C180" s="41">
        <f>(C$182*B180)-$E$167</f>
        <v>-463.17757104038446</v>
      </c>
      <c r="D180" s="41">
        <f>(D$182*B180)-$E$167</f>
        <v>-354.27757104038449</v>
      </c>
      <c r="E180" s="41">
        <f>(E$182*$B180)-E$167</f>
        <v>-245.37757104038451</v>
      </c>
      <c r="F180" s="41">
        <f>(F$182*$B180)-E$167</f>
        <v>-136.47757104038442</v>
      </c>
      <c r="G180" s="41">
        <f>(G$182*B180)-E$167</f>
        <v>-27.577571040384555</v>
      </c>
    </row>
    <row r="181" spans="1:7" x14ac:dyDescent="0.2">
      <c r="A181" s="552" t="s">
        <v>23</v>
      </c>
      <c r="B181" s="553">
        <f>C14*0.8</f>
        <v>17.600000000000001</v>
      </c>
      <c r="C181" s="41">
        <f>(C$182*B181)-$E$167</f>
        <v>-559.97757104038442</v>
      </c>
      <c r="D181" s="41">
        <f>(D$182*B181)-$E$167</f>
        <v>-463.17757104038446</v>
      </c>
      <c r="E181" s="41">
        <f>(E$182*$B181)-E$167</f>
        <v>-366.3775710403844</v>
      </c>
      <c r="F181" s="41">
        <f>(F$182*$B181)-E$167</f>
        <v>-269.57757104038433</v>
      </c>
      <c r="G181" s="41">
        <f>(G$182*B181)-E$167</f>
        <v>-172.77757104038437</v>
      </c>
    </row>
    <row r="182" spans="1:7" x14ac:dyDescent="0.2">
      <c r="A182" s="555" t="s">
        <v>25</v>
      </c>
      <c r="B182" s="556"/>
      <c r="C182" s="352">
        <f>D14*0.8</f>
        <v>44</v>
      </c>
      <c r="D182" s="352">
        <f>D14*0.9</f>
        <v>49.5</v>
      </c>
      <c r="E182" s="352">
        <f>D14</f>
        <v>55</v>
      </c>
      <c r="F182" s="352">
        <f>D14*1.1</f>
        <v>60.500000000000007</v>
      </c>
      <c r="G182" s="352">
        <f>D14*1.2</f>
        <v>66</v>
      </c>
    </row>
    <row r="183" spans="1:7" x14ac:dyDescent="0.2">
      <c r="A183" s="555" t="s">
        <v>19</v>
      </c>
      <c r="B183" s="556"/>
      <c r="C183" s="355" t="s">
        <v>23</v>
      </c>
      <c r="D183" s="355" t="s">
        <v>22</v>
      </c>
      <c r="E183" s="557"/>
      <c r="F183" s="355" t="s">
        <v>20</v>
      </c>
      <c r="G183" s="355" t="s">
        <v>21</v>
      </c>
    </row>
  </sheetData>
  <sheetProtection algorithmName="SHA-512" hashValue="c6XQAwhVhagClgfAxE987aDxLVgmlrWNjLxZMgLF9QL+0ycVOFLU054t8L9ziMAJnJsb7zLfSpK0ZPPvoAIh0g==" saltValue="MS7Ye5R3f0SnpHfrqk0AQQ==" spinCount="100000" sheet="1" objects="1" scenarios="1"/>
  <mergeCells count="4">
    <mergeCell ref="C172:G172"/>
    <mergeCell ref="C174:G174"/>
    <mergeCell ref="A175:B175"/>
    <mergeCell ref="C176:G176"/>
  </mergeCells>
  <hyperlinks>
    <hyperlink ref="H121" r:id="rId1" xr:uid="{D309C031-37E6-4E93-8DE6-F59A917818CB}"/>
    <hyperlink ref="H128" r:id="rId2" xr:uid="{C86D6CC1-A9A6-41A8-B902-4F7745049C6C}"/>
    <hyperlink ref="H122" r:id="rId3" xr:uid="{E0D41BBE-E839-4AA9-9DAB-A25DBE4A40C2}"/>
    <hyperlink ref="H125" r:id="rId4" xr:uid="{66F8B4FE-2D65-4645-8BDB-758F9EA97B9C}"/>
  </hyperlinks>
  <pageMargins left="0.7" right="0.7" top="0.75" bottom="0.75" header="0.3" footer="0.3"/>
  <pageSetup scale="43" fitToHeight="0" orientation="portrait" verticalDpi="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X155"/>
  <sheetViews>
    <sheetView zoomScaleNormal="100" workbookViewId="0">
      <selection activeCell="C14" sqref="C14"/>
    </sheetView>
  </sheetViews>
  <sheetFormatPr defaultColWidth="8.42578125" defaultRowHeight="12.75" x14ac:dyDescent="0.2"/>
  <cols>
    <col min="1" max="1" width="23.42578125" customWidth="1"/>
    <col min="2" max="2" width="15.85546875" customWidth="1"/>
    <col min="3" max="3" width="15.42578125" customWidth="1"/>
    <col min="4" max="4" width="14.7109375" customWidth="1"/>
    <col min="5" max="5" width="11.28515625" customWidth="1"/>
    <col min="6" max="6" width="7.28515625" customWidth="1"/>
    <col min="7" max="7" width="13.42578125" customWidth="1"/>
    <col min="8" max="9" width="7.42578125" customWidth="1"/>
    <col min="10" max="10" width="8.42578125" customWidth="1"/>
    <col min="11" max="11" width="8" customWidth="1"/>
  </cols>
  <sheetData>
    <row r="1" spans="1:11" ht="15.75" customHeight="1" x14ac:dyDescent="0.2">
      <c r="A1" s="29" t="s">
        <v>29</v>
      </c>
      <c r="E1" s="57"/>
    </row>
    <row r="2" spans="1:11" ht="8.25" customHeight="1" x14ac:dyDescent="0.2"/>
    <row r="3" spans="1:11" ht="15" customHeight="1" x14ac:dyDescent="0.2"/>
    <row r="4" spans="1:11" ht="8.25" customHeight="1" x14ac:dyDescent="0.2"/>
    <row r="5" spans="1:11" ht="18.75" customHeight="1" x14ac:dyDescent="0.25">
      <c r="A5" s="4" t="s">
        <v>318</v>
      </c>
      <c r="B5" s="2"/>
      <c r="D5" s="28"/>
      <c r="E5" s="54"/>
      <c r="F5" s="2"/>
      <c r="G5" s="2"/>
      <c r="H5" s="2"/>
      <c r="I5" s="2"/>
      <c r="J5" s="2"/>
      <c r="K5" s="2"/>
    </row>
    <row r="6" spans="1:11" ht="5.25" customHeight="1" x14ac:dyDescent="0.2">
      <c r="A6" s="2"/>
      <c r="B6" s="2"/>
      <c r="C6" s="2"/>
      <c r="D6" s="2"/>
      <c r="E6" s="2"/>
      <c r="F6" s="2"/>
      <c r="G6" s="2"/>
      <c r="H6" s="2"/>
      <c r="I6" s="2"/>
      <c r="J6" s="2"/>
      <c r="K6" s="2"/>
    </row>
    <row r="7" spans="1:11" x14ac:dyDescent="0.2">
      <c r="A7" s="44" t="s">
        <v>83</v>
      </c>
      <c r="B7" s="2"/>
      <c r="D7" s="2"/>
      <c r="E7" s="111"/>
      <c r="F7" s="2"/>
      <c r="G7" s="2"/>
      <c r="H7" s="2"/>
      <c r="I7" s="60"/>
      <c r="J7" s="2"/>
      <c r="K7" s="2"/>
    </row>
    <row r="8" spans="1:11" x14ac:dyDescent="0.2">
      <c r="A8" s="44" t="s">
        <v>229</v>
      </c>
      <c r="B8" s="2"/>
      <c r="D8" s="2"/>
      <c r="E8" s="340"/>
      <c r="F8" s="2"/>
      <c r="G8" s="2"/>
      <c r="H8" s="2"/>
      <c r="I8" s="2"/>
      <c r="J8" s="2"/>
      <c r="K8" s="2"/>
    </row>
    <row r="9" spans="1:11" x14ac:dyDescent="0.2">
      <c r="A9" s="44" t="s">
        <v>71</v>
      </c>
      <c r="B9" s="2"/>
      <c r="D9" s="2"/>
      <c r="E9" s="125"/>
      <c r="F9" s="2"/>
      <c r="G9" s="2"/>
      <c r="H9" s="2"/>
      <c r="I9" s="2"/>
      <c r="J9" s="2"/>
      <c r="K9" s="2"/>
    </row>
    <row r="10" spans="1:11" x14ac:dyDescent="0.2">
      <c r="A10" s="44"/>
      <c r="B10" s="2"/>
      <c r="C10" s="5"/>
      <c r="D10" s="2"/>
      <c r="E10" s="2"/>
      <c r="F10" s="2"/>
    </row>
    <row r="11" spans="1:11" ht="20.100000000000001" customHeight="1" x14ac:dyDescent="0.25">
      <c r="A11" s="4" t="s">
        <v>344</v>
      </c>
      <c r="B11" s="278"/>
      <c r="C11" s="277"/>
      <c r="D11" s="67"/>
      <c r="E11" s="2"/>
      <c r="F11" s="2"/>
    </row>
    <row r="12" spans="1:11" x14ac:dyDescent="0.2">
      <c r="A12" s="178" t="s">
        <v>37</v>
      </c>
      <c r="B12" s="176"/>
      <c r="C12" s="177"/>
      <c r="D12" s="176"/>
      <c r="E12" s="176"/>
      <c r="F12" s="146"/>
    </row>
    <row r="13" spans="1:11" x14ac:dyDescent="0.2">
      <c r="A13" s="44"/>
      <c r="B13" s="2"/>
      <c r="C13" s="85" t="s">
        <v>235</v>
      </c>
      <c r="D13" s="310" t="s">
        <v>236</v>
      </c>
      <c r="E13" s="44" t="s">
        <v>237</v>
      </c>
      <c r="F13" s="2"/>
    </row>
    <row r="14" spans="1:11" x14ac:dyDescent="0.2">
      <c r="A14" s="67" t="s">
        <v>38</v>
      </c>
      <c r="B14" s="2"/>
      <c r="C14" s="112">
        <v>52</v>
      </c>
      <c r="D14" s="183">
        <v>14.1</v>
      </c>
      <c r="E14" s="339">
        <f>C14*D14</f>
        <v>733.19999999999993</v>
      </c>
      <c r="F14" s="2"/>
    </row>
    <row r="15" spans="1:11" x14ac:dyDescent="0.2">
      <c r="A15" s="67" t="s">
        <v>249</v>
      </c>
      <c r="B15" s="2"/>
      <c r="C15" s="5"/>
      <c r="D15" s="2"/>
      <c r="E15" s="256">
        <v>0</v>
      </c>
      <c r="F15" s="2"/>
    </row>
    <row r="16" spans="1:11" x14ac:dyDescent="0.2">
      <c r="A16" s="229" t="s">
        <v>200</v>
      </c>
      <c r="B16" s="230"/>
      <c r="C16" s="226"/>
      <c r="D16" s="230"/>
      <c r="E16" s="341">
        <f>E14+E15</f>
        <v>733.19999999999993</v>
      </c>
      <c r="F16" s="2"/>
    </row>
    <row r="17" spans="1:24" x14ac:dyDescent="0.2">
      <c r="A17" s="178" t="s">
        <v>40</v>
      </c>
      <c r="B17" s="179"/>
      <c r="C17" s="180"/>
      <c r="D17" s="179"/>
      <c r="E17" s="179"/>
      <c r="F17" s="181"/>
    </row>
    <row r="18" spans="1:24" ht="12" customHeight="1" x14ac:dyDescent="0.2">
      <c r="A18" s="25"/>
      <c r="B18" s="7"/>
      <c r="C18" s="5"/>
      <c r="D18" s="7"/>
      <c r="E18" s="7"/>
      <c r="F18" s="2"/>
    </row>
    <row r="19" spans="1:24" x14ac:dyDescent="0.2">
      <c r="A19" s="168" t="s">
        <v>4</v>
      </c>
      <c r="B19" s="144"/>
      <c r="C19" s="167"/>
      <c r="D19" s="167"/>
      <c r="E19" s="167"/>
      <c r="F19" s="146"/>
      <c r="M19" s="56"/>
      <c r="N19" s="56"/>
      <c r="O19" s="56"/>
      <c r="P19" s="56"/>
    </row>
    <row r="20" spans="1:24" ht="15" customHeight="1" x14ac:dyDescent="0.2">
      <c r="A20" s="152" t="s">
        <v>88</v>
      </c>
      <c r="B20" s="153"/>
      <c r="C20" s="154"/>
      <c r="D20" s="154"/>
      <c r="E20" s="154"/>
      <c r="F20" s="151"/>
      <c r="G20" s="42"/>
      <c r="H20" s="108"/>
      <c r="I20" s="42"/>
      <c r="J20" s="108"/>
      <c r="K20" s="42"/>
      <c r="M20" s="73"/>
      <c r="N20" s="56"/>
      <c r="O20" s="56"/>
      <c r="P20" s="56"/>
    </row>
    <row r="21" spans="1:24" x14ac:dyDescent="0.2">
      <c r="A21" s="53"/>
      <c r="B21" s="91" t="s">
        <v>238</v>
      </c>
      <c r="C21" s="91" t="s">
        <v>239</v>
      </c>
      <c r="D21" s="91" t="s">
        <v>240</v>
      </c>
      <c r="E21" s="91" t="s">
        <v>241</v>
      </c>
      <c r="F21" s="2"/>
      <c r="G21" s="109"/>
      <c r="H21" s="100"/>
      <c r="I21" s="42"/>
      <c r="J21" s="100"/>
      <c r="K21" s="108"/>
      <c r="M21" s="73"/>
      <c r="N21" s="56"/>
      <c r="O21" s="56"/>
      <c r="P21" s="56"/>
    </row>
    <row r="22" spans="1:24" x14ac:dyDescent="0.2">
      <c r="A22" s="61" t="s">
        <v>304</v>
      </c>
      <c r="B22" s="297"/>
      <c r="C22" s="124"/>
      <c r="D22" s="140"/>
      <c r="E22" s="342">
        <f>((D22/2000)*B22*C22)</f>
        <v>0</v>
      </c>
      <c r="F22" s="2"/>
      <c r="G22" s="89"/>
      <c r="H22" s="10"/>
      <c r="I22" s="116"/>
      <c r="J22" s="10"/>
      <c r="K22" s="42"/>
      <c r="M22" s="56"/>
      <c r="N22" s="56"/>
      <c r="O22" s="73"/>
      <c r="P22" s="73"/>
      <c r="Q22" s="73"/>
      <c r="R22" s="73"/>
      <c r="S22" s="56"/>
      <c r="T22" s="56"/>
      <c r="U22" s="56"/>
      <c r="V22" s="56"/>
      <c r="W22" s="56"/>
      <c r="X22" s="56"/>
    </row>
    <row r="23" spans="1:24" x14ac:dyDescent="0.2">
      <c r="A23" s="61"/>
      <c r="B23" s="63"/>
      <c r="C23" s="75"/>
      <c r="D23" s="17"/>
      <c r="E23" s="74"/>
      <c r="F23" s="2"/>
      <c r="G23" s="89"/>
      <c r="H23" s="10"/>
      <c r="I23" s="116"/>
      <c r="J23" s="10"/>
      <c r="K23" s="42"/>
      <c r="M23" s="56"/>
      <c r="N23" s="56"/>
      <c r="O23" s="73"/>
      <c r="P23" s="73"/>
      <c r="Q23" s="73"/>
      <c r="R23" s="73"/>
      <c r="S23" s="56"/>
      <c r="T23" s="56"/>
      <c r="U23" s="56"/>
      <c r="V23" s="56"/>
      <c r="W23" s="56"/>
      <c r="X23" s="56"/>
    </row>
    <row r="24" spans="1:24" x14ac:dyDescent="0.2">
      <c r="A24" s="53"/>
      <c r="C24" s="91" t="s">
        <v>242</v>
      </c>
      <c r="D24" s="91" t="s">
        <v>240</v>
      </c>
      <c r="E24" s="91" t="s">
        <v>241</v>
      </c>
      <c r="F24" s="2"/>
      <c r="G24" s="109"/>
      <c r="H24" s="100"/>
      <c r="I24" s="42"/>
      <c r="J24" s="100"/>
      <c r="K24" s="108"/>
      <c r="M24" s="73"/>
      <c r="N24" s="56"/>
      <c r="O24" s="56"/>
      <c r="P24" s="56"/>
    </row>
    <row r="25" spans="1:24" x14ac:dyDescent="0.2">
      <c r="A25" s="298" t="s">
        <v>66</v>
      </c>
      <c r="B25" s="7"/>
      <c r="C25" s="112">
        <v>100</v>
      </c>
      <c r="D25" s="140">
        <v>1000</v>
      </c>
      <c r="E25" s="343">
        <f>C25*(D25/2000)</f>
        <v>50</v>
      </c>
      <c r="F25" s="2"/>
      <c r="G25" s="14"/>
      <c r="H25" s="3"/>
      <c r="I25" s="42"/>
      <c r="J25" s="90"/>
      <c r="K25" s="42"/>
    </row>
    <row r="26" spans="1:24" x14ac:dyDescent="0.2">
      <c r="A26" s="298" t="s">
        <v>66</v>
      </c>
      <c r="B26" s="7"/>
      <c r="C26" s="123"/>
      <c r="D26" s="140">
        <v>0</v>
      </c>
      <c r="E26" s="344">
        <f>C26*(D26/2000)</f>
        <v>0</v>
      </c>
      <c r="F26" s="2"/>
      <c r="G26" s="14"/>
      <c r="H26" s="3"/>
      <c r="I26" s="42"/>
      <c r="J26" s="90"/>
      <c r="K26" s="42"/>
    </row>
    <row r="27" spans="1:24" x14ac:dyDescent="0.2">
      <c r="A27" s="299" t="s">
        <v>66</v>
      </c>
      <c r="B27" s="7"/>
      <c r="C27" s="123"/>
      <c r="D27" s="281">
        <v>0</v>
      </c>
      <c r="E27" s="344">
        <f>C27*(D27/2000)</f>
        <v>0</v>
      </c>
      <c r="F27" s="2"/>
      <c r="G27" s="14"/>
      <c r="H27" s="3"/>
      <c r="I27" s="42"/>
      <c r="J27" s="90"/>
      <c r="K27" s="42"/>
    </row>
    <row r="28" spans="1:24" x14ac:dyDescent="0.2">
      <c r="A28" s="298"/>
      <c r="B28" s="11"/>
      <c r="C28" s="112"/>
      <c r="D28" s="140">
        <v>0</v>
      </c>
      <c r="E28" s="343">
        <f>C28*(D28/2000)</f>
        <v>0</v>
      </c>
      <c r="F28" s="2"/>
      <c r="G28" s="14"/>
      <c r="H28" s="3"/>
      <c r="I28" s="42"/>
      <c r="J28" s="90"/>
      <c r="K28" s="42"/>
    </row>
    <row r="29" spans="1:24" x14ac:dyDescent="0.2">
      <c r="A29" s="147"/>
      <c r="B29" s="148"/>
      <c r="C29" s="65"/>
      <c r="D29" s="169"/>
      <c r="E29" s="145"/>
      <c r="F29" s="2"/>
      <c r="G29" s="14"/>
      <c r="H29" s="3"/>
      <c r="I29" s="42"/>
      <c r="J29" s="90"/>
      <c r="K29" s="42"/>
    </row>
    <row r="30" spans="1:24" ht="14.25" customHeight="1" x14ac:dyDescent="0.2">
      <c r="A30" s="149" t="s">
        <v>135</v>
      </c>
      <c r="B30" s="150"/>
      <c r="C30" s="231"/>
      <c r="D30" s="232"/>
      <c r="E30" s="232"/>
      <c r="F30" s="151"/>
      <c r="G30" s="2"/>
      <c r="H30" s="2"/>
      <c r="I30" s="2"/>
      <c r="J30" s="2"/>
      <c r="K30" s="2"/>
      <c r="L30" s="56"/>
      <c r="M30" s="56"/>
      <c r="N30" s="56"/>
      <c r="O30" s="56"/>
      <c r="P30" s="56"/>
      <c r="Q30" s="56"/>
      <c r="R30" s="56"/>
      <c r="S30" s="56"/>
      <c r="T30" s="56"/>
    </row>
    <row r="31" spans="1:24" ht="14.25" customHeight="1" x14ac:dyDescent="0.2">
      <c r="A31" s="130" t="s">
        <v>136</v>
      </c>
      <c r="B31" s="129"/>
      <c r="C31" s="65"/>
      <c r="D31" s="145"/>
      <c r="E31" s="140">
        <v>0</v>
      </c>
      <c r="F31" s="2"/>
      <c r="G31" s="27"/>
      <c r="H31" s="10"/>
      <c r="I31" s="10"/>
      <c r="J31" s="10"/>
      <c r="K31" s="10"/>
      <c r="M31" s="56"/>
    </row>
    <row r="32" spans="1:24" ht="14.25" x14ac:dyDescent="0.25">
      <c r="A32" s="51"/>
      <c r="B32" s="11"/>
      <c r="C32" s="12" t="s">
        <v>194</v>
      </c>
      <c r="D32" s="318" t="s">
        <v>266</v>
      </c>
      <c r="E32" s="86"/>
      <c r="F32" s="2"/>
      <c r="G32" s="109"/>
      <c r="H32" s="13"/>
      <c r="I32" s="10"/>
      <c r="J32" s="13"/>
      <c r="K32" s="13"/>
      <c r="L32" s="42"/>
      <c r="M32" s="56"/>
    </row>
    <row r="33" spans="1:19" x14ac:dyDescent="0.2">
      <c r="A33" s="314" t="s">
        <v>49</v>
      </c>
      <c r="C33" s="112">
        <v>0</v>
      </c>
      <c r="D33" s="300">
        <v>0</v>
      </c>
      <c r="E33" s="345">
        <f t="shared" ref="E33" si="0">C33*D33</f>
        <v>0</v>
      </c>
      <c r="F33" s="2"/>
      <c r="G33" s="89"/>
      <c r="H33" s="10"/>
      <c r="I33" s="13"/>
      <c r="J33" s="13"/>
      <c r="K33" s="13"/>
      <c r="L33" s="42"/>
    </row>
    <row r="34" spans="1:19" ht="14.25" customHeight="1" x14ac:dyDescent="0.25">
      <c r="A34" s="61"/>
      <c r="B34" s="11"/>
      <c r="C34" s="310" t="s">
        <v>195</v>
      </c>
      <c r="D34" s="318" t="s">
        <v>265</v>
      </c>
      <c r="E34" s="86"/>
      <c r="F34" s="2"/>
      <c r="G34" s="14"/>
      <c r="H34" s="10"/>
      <c r="I34" s="13"/>
      <c r="J34" s="13"/>
      <c r="K34" s="100"/>
      <c r="L34" s="42"/>
      <c r="M34" s="56"/>
      <c r="N34" s="56"/>
      <c r="O34" s="56"/>
      <c r="P34" s="56"/>
      <c r="Q34" s="56"/>
    </row>
    <row r="35" spans="1:19" ht="14.25" customHeight="1" x14ac:dyDescent="0.2">
      <c r="A35" s="314" t="s">
        <v>41</v>
      </c>
      <c r="C35" s="112">
        <v>85</v>
      </c>
      <c r="D35" s="140">
        <v>0.71</v>
      </c>
      <c r="E35" s="343">
        <f>C35*D35</f>
        <v>60.349999999999994</v>
      </c>
      <c r="F35" s="2"/>
      <c r="G35" s="117"/>
      <c r="H35" s="118"/>
      <c r="I35" s="119"/>
      <c r="J35" s="119"/>
      <c r="K35" s="98"/>
      <c r="L35" s="99"/>
    </row>
    <row r="36" spans="1:19" ht="14.25" customHeight="1" x14ac:dyDescent="0.2">
      <c r="A36" s="6"/>
      <c r="B36" s="2"/>
      <c r="C36" s="19"/>
      <c r="D36" s="2"/>
      <c r="E36" s="2"/>
      <c r="F36" s="2"/>
      <c r="G36" s="14"/>
      <c r="H36" s="3"/>
      <c r="I36" s="3"/>
      <c r="J36" s="3"/>
      <c r="K36" s="3"/>
      <c r="L36" s="3"/>
    </row>
    <row r="37" spans="1:19" ht="14.25" customHeight="1" x14ac:dyDescent="0.2">
      <c r="A37" s="289" t="s">
        <v>133</v>
      </c>
      <c r="B37" s="11"/>
      <c r="C37" s="16"/>
      <c r="D37" s="17"/>
      <c r="E37" s="140">
        <v>0</v>
      </c>
      <c r="F37" s="2"/>
      <c r="G37" s="27"/>
      <c r="H37" s="10"/>
      <c r="I37" s="10"/>
      <c r="J37" s="10"/>
      <c r="K37" s="10"/>
      <c r="L37" s="10"/>
    </row>
    <row r="38" spans="1:19" ht="14.25" customHeight="1" x14ac:dyDescent="0.2">
      <c r="A38" s="238"/>
      <c r="B38" s="11"/>
      <c r="C38" s="16"/>
      <c r="D38" s="17"/>
      <c r="E38" s="156"/>
      <c r="F38" s="2"/>
      <c r="G38" s="27"/>
      <c r="H38" s="10"/>
      <c r="I38" s="10"/>
      <c r="J38" s="10"/>
      <c r="K38" s="10"/>
      <c r="L38" s="10"/>
    </row>
    <row r="39" spans="1:19" ht="14.25" customHeight="1" x14ac:dyDescent="0.2">
      <c r="A39" s="289" t="s">
        <v>208</v>
      </c>
      <c r="B39" s="11"/>
      <c r="C39" s="16"/>
      <c r="D39" s="17"/>
      <c r="E39" s="140">
        <v>0</v>
      </c>
      <c r="F39" s="2"/>
      <c r="G39" s="27"/>
      <c r="H39" s="10"/>
      <c r="I39" s="10"/>
      <c r="J39" s="10"/>
      <c r="K39" s="10"/>
      <c r="L39" s="10"/>
    </row>
    <row r="40" spans="1:19" ht="14.25" customHeight="1" x14ac:dyDescent="0.2">
      <c r="A40" s="289" t="s">
        <v>7</v>
      </c>
      <c r="B40" s="11"/>
      <c r="C40" s="16"/>
      <c r="D40" s="17"/>
      <c r="E40" s="140">
        <v>0</v>
      </c>
      <c r="F40" s="2"/>
      <c r="G40" s="27"/>
      <c r="H40" s="10"/>
      <c r="I40" s="10"/>
      <c r="J40" s="10"/>
      <c r="K40" s="10"/>
      <c r="L40" s="10"/>
    </row>
    <row r="41" spans="1:19" ht="14.25" customHeight="1" x14ac:dyDescent="0.2">
      <c r="A41" s="289"/>
      <c r="B41" s="11"/>
      <c r="C41" s="16"/>
      <c r="D41" s="17"/>
      <c r="E41" s="140">
        <v>0</v>
      </c>
      <c r="F41" s="2"/>
      <c r="G41" s="27"/>
      <c r="H41" s="10"/>
      <c r="I41" s="10"/>
      <c r="J41" s="10"/>
      <c r="K41" s="10"/>
      <c r="L41" s="10"/>
    </row>
    <row r="42" spans="1:19" ht="14.25" customHeight="1" x14ac:dyDescent="0.2">
      <c r="A42" s="52" t="s">
        <v>248</v>
      </c>
      <c r="B42" s="155"/>
      <c r="C42" s="316" t="s">
        <v>72</v>
      </c>
      <c r="D42" s="85" t="s">
        <v>256</v>
      </c>
      <c r="E42" s="17"/>
      <c r="F42" s="2"/>
      <c r="G42" s="27"/>
      <c r="H42" s="10"/>
      <c r="I42" s="10"/>
      <c r="J42" s="10"/>
      <c r="K42" s="10"/>
      <c r="L42" s="10"/>
    </row>
    <row r="43" spans="1:19" ht="14.25" customHeight="1" x14ac:dyDescent="0.2">
      <c r="A43" s="289" t="s">
        <v>138</v>
      </c>
      <c r="B43" s="20"/>
      <c r="C43" s="112">
        <v>1</v>
      </c>
      <c r="D43" s="140">
        <v>8</v>
      </c>
      <c r="E43" s="343">
        <f>D43*C43</f>
        <v>8</v>
      </c>
      <c r="F43" s="2"/>
      <c r="G43" s="27"/>
      <c r="H43" s="10"/>
      <c r="I43" s="10"/>
      <c r="J43" s="10"/>
      <c r="K43" s="10"/>
      <c r="L43" s="10"/>
    </row>
    <row r="44" spans="1:19" ht="14.25" customHeight="1" x14ac:dyDescent="0.2">
      <c r="A44" s="289" t="s">
        <v>89</v>
      </c>
      <c r="B44" s="20"/>
      <c r="C44" s="112">
        <v>0</v>
      </c>
      <c r="D44" s="140"/>
      <c r="E44" s="343">
        <f t="shared" ref="E44:E45" si="1">D44*C44</f>
        <v>0</v>
      </c>
      <c r="F44" s="2"/>
      <c r="G44" s="27"/>
      <c r="H44" s="10"/>
      <c r="I44" s="10"/>
      <c r="J44" s="10"/>
      <c r="K44" s="10"/>
      <c r="L44" s="10"/>
    </row>
    <row r="45" spans="1:19" ht="14.25" customHeight="1" x14ac:dyDescent="0.2">
      <c r="A45" s="289"/>
      <c r="B45" s="20"/>
      <c r="C45" s="112">
        <v>0</v>
      </c>
      <c r="D45" s="140"/>
      <c r="E45" s="343">
        <f t="shared" si="1"/>
        <v>0</v>
      </c>
      <c r="F45" s="2"/>
      <c r="G45" s="27"/>
      <c r="H45" s="10"/>
      <c r="I45" s="10"/>
      <c r="J45" s="10"/>
      <c r="K45" s="10"/>
      <c r="L45" s="10"/>
    </row>
    <row r="46" spans="1:19" ht="14.25" customHeight="1" x14ac:dyDescent="0.2">
      <c r="A46" s="52"/>
      <c r="B46" s="11"/>
      <c r="C46" s="16"/>
      <c r="D46" s="17"/>
      <c r="E46" s="17"/>
      <c r="F46" s="2"/>
      <c r="G46" s="27"/>
      <c r="H46" s="10"/>
      <c r="I46" s="10"/>
      <c r="J46" s="10"/>
      <c r="K46" s="10"/>
      <c r="L46" s="10"/>
    </row>
    <row r="47" spans="1:19" x14ac:dyDescent="0.2">
      <c r="A47" s="6"/>
      <c r="B47" s="12" t="s">
        <v>263</v>
      </c>
      <c r="C47" s="12" t="s">
        <v>264</v>
      </c>
      <c r="D47" s="85" t="s">
        <v>240</v>
      </c>
      <c r="E47" s="317" t="s">
        <v>241</v>
      </c>
      <c r="F47" s="2"/>
    </row>
    <row r="48" spans="1:19" x14ac:dyDescent="0.2">
      <c r="A48" s="11" t="s">
        <v>80</v>
      </c>
      <c r="B48" s="301">
        <v>3</v>
      </c>
      <c r="C48" s="113">
        <v>3</v>
      </c>
      <c r="D48" s="183">
        <v>29</v>
      </c>
      <c r="E48" s="343">
        <f>(D48*C48)/B48</f>
        <v>29</v>
      </c>
      <c r="F48" s="2"/>
      <c r="H48" s="126"/>
      <c r="I48" s="56"/>
      <c r="J48" s="56"/>
      <c r="K48" s="56"/>
      <c r="L48" s="56"/>
      <c r="M48" s="56"/>
      <c r="N48" s="56"/>
      <c r="O48" s="56"/>
      <c r="P48" s="56"/>
      <c r="Q48" s="56"/>
      <c r="R48" s="56"/>
      <c r="S48" s="56"/>
    </row>
    <row r="49" spans="1:23" x14ac:dyDescent="0.2">
      <c r="A49" s="31"/>
      <c r="B49" s="185"/>
      <c r="C49" s="184"/>
      <c r="D49" s="319" t="s">
        <v>241</v>
      </c>
      <c r="E49" s="156"/>
      <c r="F49" s="2"/>
      <c r="H49" s="126"/>
      <c r="I49" s="56"/>
      <c r="J49" s="56"/>
      <c r="K49" s="56"/>
      <c r="L49" s="56"/>
      <c r="M49" s="56"/>
      <c r="N49" s="56"/>
      <c r="O49" s="56"/>
      <c r="P49" s="56"/>
      <c r="Q49" s="56"/>
      <c r="R49" s="56"/>
      <c r="S49" s="56"/>
    </row>
    <row r="50" spans="1:23" x14ac:dyDescent="0.2">
      <c r="A50" s="252" t="s">
        <v>98</v>
      </c>
      <c r="B50" s="20"/>
      <c r="C50" s="182"/>
      <c r="D50" s="183">
        <v>34.5</v>
      </c>
      <c r="E50" s="343">
        <f>D50/B48</f>
        <v>11.5</v>
      </c>
      <c r="F50" s="2"/>
      <c r="H50" s="126"/>
      <c r="I50" s="56"/>
      <c r="J50" s="56"/>
      <c r="K50" s="56"/>
      <c r="L50" s="56"/>
      <c r="M50" s="56"/>
      <c r="N50" s="56"/>
      <c r="O50" s="56"/>
      <c r="P50" s="56"/>
      <c r="Q50" s="56"/>
      <c r="R50" s="56"/>
      <c r="S50" s="56"/>
    </row>
    <row r="51" spans="1:23" x14ac:dyDescent="0.2">
      <c r="A51" s="31"/>
      <c r="B51" s="133"/>
      <c r="C51" s="135"/>
      <c r="D51" s="3"/>
      <c r="E51" s="10"/>
      <c r="F51" s="2"/>
      <c r="H51" s="126"/>
      <c r="I51" s="56"/>
      <c r="J51" s="56"/>
      <c r="K51" s="56"/>
      <c r="L51" s="56"/>
      <c r="M51" s="56"/>
      <c r="N51" s="56"/>
      <c r="O51" s="56"/>
      <c r="P51" s="56"/>
      <c r="Q51" s="56"/>
      <c r="R51" s="56"/>
      <c r="S51" s="56"/>
    </row>
    <row r="52" spans="1:23" x14ac:dyDescent="0.2">
      <c r="A52" s="229" t="s">
        <v>198</v>
      </c>
      <c r="B52" s="230"/>
      <c r="C52" s="230"/>
      <c r="D52" s="230"/>
      <c r="E52" s="341">
        <f>SUM(E22:E51)</f>
        <v>158.85</v>
      </c>
      <c r="F52" s="2"/>
      <c r="G52" s="52"/>
      <c r="H52" s="52"/>
      <c r="I52" s="56"/>
      <c r="J52" s="56"/>
      <c r="K52" s="56"/>
      <c r="L52" s="56"/>
      <c r="M52" s="56"/>
      <c r="N52" s="56"/>
      <c r="O52" s="56"/>
      <c r="P52" s="56"/>
      <c r="Q52" s="56"/>
      <c r="R52" s="56"/>
      <c r="S52" s="56"/>
    </row>
    <row r="53" spans="1:23" x14ac:dyDescent="0.2">
      <c r="A53" s="166" t="s">
        <v>94</v>
      </c>
      <c r="B53" s="146"/>
      <c r="C53" s="146"/>
      <c r="D53" s="146"/>
      <c r="E53" s="146"/>
      <c r="F53" s="146"/>
      <c r="G53" s="52"/>
      <c r="H53" s="52"/>
      <c r="I53" s="56"/>
      <c r="J53" s="56"/>
      <c r="K53" s="56"/>
      <c r="L53" s="56"/>
      <c r="M53" s="56"/>
      <c r="N53" s="56"/>
      <c r="O53" s="56"/>
      <c r="P53" s="56"/>
      <c r="Q53" s="56"/>
      <c r="R53" s="56"/>
      <c r="S53" s="56"/>
    </row>
    <row r="54" spans="1:23" x14ac:dyDescent="0.2">
      <c r="A54" s="26"/>
      <c r="B54" s="7"/>
      <c r="C54" s="317" t="s">
        <v>260</v>
      </c>
      <c r="D54" s="317" t="s">
        <v>259</v>
      </c>
      <c r="E54" s="317" t="s">
        <v>241</v>
      </c>
      <c r="F54" s="2"/>
      <c r="G54" s="52"/>
      <c r="H54" s="52"/>
      <c r="I54" s="56"/>
      <c r="J54" s="56"/>
      <c r="K54" s="56"/>
      <c r="L54" s="56"/>
      <c r="M54" s="56"/>
      <c r="N54" s="56"/>
      <c r="O54" s="56"/>
      <c r="P54" s="56"/>
      <c r="Q54" s="56"/>
      <c r="R54" s="56"/>
      <c r="S54" s="56"/>
    </row>
    <row r="55" spans="1:23" x14ac:dyDescent="0.2">
      <c r="A55" s="27" t="s">
        <v>139</v>
      </c>
      <c r="B55" s="63"/>
      <c r="C55" s="302">
        <v>143000</v>
      </c>
      <c r="D55" s="254">
        <v>56</v>
      </c>
      <c r="E55" s="343">
        <f>+C55*(D55/140000)</f>
        <v>57.2</v>
      </c>
      <c r="F55" s="2"/>
      <c r="G55" s="53"/>
      <c r="H55" s="127"/>
      <c r="I55" s="58"/>
      <c r="J55" s="58"/>
      <c r="K55" s="58"/>
      <c r="L55" s="56"/>
      <c r="M55" s="56"/>
      <c r="N55" s="56"/>
      <c r="O55" s="56"/>
      <c r="P55" s="56"/>
      <c r="Q55" s="56"/>
      <c r="R55" s="56"/>
      <c r="S55" s="56"/>
    </row>
    <row r="56" spans="1:23" x14ac:dyDescent="0.2">
      <c r="A56" s="27"/>
      <c r="B56" s="9"/>
      <c r="C56" s="310" t="s">
        <v>261</v>
      </c>
      <c r="D56" s="317" t="s">
        <v>262</v>
      </c>
      <c r="E56" s="317" t="s">
        <v>241</v>
      </c>
      <c r="F56" s="2"/>
      <c r="G56" s="56"/>
      <c r="H56" s="56"/>
      <c r="I56" s="58"/>
      <c r="J56" s="58"/>
      <c r="K56" s="58"/>
      <c r="L56" s="56"/>
      <c r="M56" s="56"/>
      <c r="N56" s="56"/>
      <c r="O56" s="56"/>
      <c r="P56" s="56"/>
      <c r="Q56" s="56"/>
      <c r="R56" s="56"/>
      <c r="S56" s="56"/>
      <c r="T56" s="56"/>
      <c r="U56" s="56"/>
      <c r="V56" s="56"/>
      <c r="W56" s="56"/>
    </row>
    <row r="57" spans="1:23" x14ac:dyDescent="0.2">
      <c r="A57" s="76" t="s">
        <v>81</v>
      </c>
      <c r="B57" s="77"/>
      <c r="C57" s="112">
        <v>0</v>
      </c>
      <c r="D57" s="254"/>
      <c r="E57" s="565">
        <f>D57*C57</f>
        <v>0</v>
      </c>
      <c r="F57" s="2"/>
      <c r="G57" s="56"/>
      <c r="H57" s="56"/>
      <c r="I57" s="58"/>
      <c r="J57" s="58"/>
      <c r="K57" s="58"/>
      <c r="L57" s="56"/>
      <c r="M57" s="56"/>
      <c r="N57" s="56"/>
      <c r="O57" s="56"/>
      <c r="P57" s="56"/>
      <c r="Q57" s="56"/>
      <c r="R57" s="56"/>
      <c r="S57" s="56"/>
      <c r="T57" s="56"/>
      <c r="U57" s="56"/>
      <c r="V57" s="56"/>
      <c r="W57" s="56"/>
    </row>
    <row r="58" spans="1:23" x14ac:dyDescent="0.2">
      <c r="A58" s="76"/>
      <c r="B58" s="77"/>
      <c r="C58" s="65"/>
      <c r="D58" s="568"/>
      <c r="E58" s="234"/>
      <c r="F58" s="2"/>
      <c r="G58" s="56"/>
      <c r="H58" s="56"/>
      <c r="I58" s="58"/>
      <c r="J58" s="58"/>
      <c r="K58" s="58"/>
      <c r="L58" s="56"/>
      <c r="M58" s="56"/>
      <c r="N58" s="56"/>
      <c r="O58" s="56"/>
      <c r="P58" s="56"/>
      <c r="Q58" s="56"/>
      <c r="R58" s="56"/>
      <c r="S58" s="56"/>
      <c r="T58" s="56"/>
      <c r="U58" s="56"/>
      <c r="V58" s="56"/>
      <c r="W58" s="56"/>
    </row>
    <row r="59" spans="1:23" x14ac:dyDescent="0.2">
      <c r="A59" s="76" t="s">
        <v>81</v>
      </c>
      <c r="B59" s="77"/>
      <c r="C59" s="112"/>
      <c r="D59" s="254"/>
      <c r="E59" s="565">
        <f>D59*C59</f>
        <v>0</v>
      </c>
      <c r="F59" s="2"/>
      <c r="G59" s="56"/>
      <c r="H59" s="56"/>
      <c r="I59" s="58"/>
      <c r="J59" s="58"/>
      <c r="K59" s="58"/>
      <c r="L59" s="56"/>
      <c r="M59" s="56"/>
      <c r="N59" s="56"/>
      <c r="O59" s="56"/>
      <c r="P59" s="56"/>
      <c r="Q59" s="56"/>
      <c r="R59" s="56"/>
      <c r="S59" s="56"/>
      <c r="T59" s="56"/>
      <c r="U59" s="56"/>
      <c r="V59" s="56"/>
      <c r="W59" s="56"/>
    </row>
    <row r="60" spans="1:23" x14ac:dyDescent="0.2">
      <c r="A60" s="215" t="s">
        <v>197</v>
      </c>
      <c r="B60" s="222"/>
      <c r="C60" s="227"/>
      <c r="D60" s="228"/>
      <c r="E60" s="347">
        <f>E55+E57+E59</f>
        <v>57.2</v>
      </c>
      <c r="F60" s="2"/>
      <c r="G60" s="56"/>
      <c r="H60" s="56"/>
      <c r="I60" s="58"/>
      <c r="J60" s="58"/>
      <c r="K60" s="58"/>
      <c r="L60" s="56"/>
      <c r="M60" s="56"/>
      <c r="N60" s="56"/>
      <c r="O60" s="56"/>
      <c r="P60" s="56"/>
      <c r="Q60" s="56"/>
      <c r="R60" s="56"/>
      <c r="S60" s="56"/>
      <c r="T60" s="56"/>
      <c r="U60" s="56"/>
      <c r="V60" s="56"/>
      <c r="W60" s="56"/>
    </row>
    <row r="61" spans="1:23" x14ac:dyDescent="0.2">
      <c r="A61" s="164" t="s">
        <v>92</v>
      </c>
      <c r="B61" s="160"/>
      <c r="C61" s="161"/>
      <c r="D61" s="162"/>
      <c r="E61" s="214"/>
      <c r="F61" s="146"/>
      <c r="G61" s="58"/>
      <c r="H61" s="58"/>
      <c r="I61" s="58"/>
      <c r="J61" s="58"/>
      <c r="K61" s="58"/>
      <c r="L61" s="56"/>
      <c r="M61" s="56"/>
      <c r="N61" s="56"/>
      <c r="O61" s="56"/>
      <c r="P61" s="56"/>
      <c r="Q61" s="56"/>
      <c r="R61" s="56"/>
      <c r="S61" s="56"/>
    </row>
    <row r="62" spans="1:23" x14ac:dyDescent="0.2">
      <c r="A62" s="165" t="s">
        <v>2</v>
      </c>
      <c r="B62" s="7"/>
      <c r="C62" s="233"/>
      <c r="D62" s="131"/>
      <c r="E62" s="317" t="s">
        <v>241</v>
      </c>
      <c r="F62" s="2"/>
      <c r="G62" s="50"/>
      <c r="H62" s="128"/>
      <c r="I62" s="58"/>
      <c r="J62" s="58"/>
      <c r="K62" s="58"/>
      <c r="L62" s="56"/>
      <c r="M62" s="56"/>
      <c r="N62" s="56"/>
      <c r="O62" s="56"/>
      <c r="P62" s="56"/>
      <c r="Q62" s="56"/>
      <c r="R62" s="56"/>
      <c r="S62" s="56"/>
    </row>
    <row r="63" spans="1:23" x14ac:dyDescent="0.2">
      <c r="A63" s="252" t="s">
        <v>126</v>
      </c>
      <c r="B63" s="7"/>
      <c r="C63" s="233"/>
      <c r="D63" s="131"/>
      <c r="E63" s="303"/>
      <c r="F63" s="2"/>
      <c r="G63" s="50"/>
      <c r="H63" s="128"/>
      <c r="I63" s="58"/>
      <c r="J63" s="58"/>
      <c r="K63" s="58"/>
      <c r="L63" s="56"/>
      <c r="M63" s="56"/>
      <c r="N63" s="56"/>
      <c r="O63" s="56"/>
      <c r="P63" s="56"/>
      <c r="Q63" s="56"/>
      <c r="R63" s="56"/>
      <c r="S63" s="56"/>
    </row>
    <row r="64" spans="1:23" x14ac:dyDescent="0.2">
      <c r="A64" s="251" t="s">
        <v>99</v>
      </c>
      <c r="B64" s="7"/>
      <c r="C64" s="233"/>
      <c r="D64" s="131"/>
      <c r="E64" s="140"/>
      <c r="F64" s="2"/>
      <c r="G64" s="50"/>
      <c r="H64" s="128"/>
      <c r="I64" s="58"/>
      <c r="J64" s="58"/>
      <c r="K64" s="58"/>
      <c r="L64" s="56"/>
      <c r="M64" s="56"/>
      <c r="N64" s="56"/>
      <c r="O64" s="56"/>
      <c r="P64" s="56"/>
      <c r="Q64" s="56"/>
      <c r="R64" s="56"/>
      <c r="S64" s="56"/>
    </row>
    <row r="65" spans="1:19" x14ac:dyDescent="0.2">
      <c r="A65" s="252" t="s">
        <v>127</v>
      </c>
      <c r="B65" s="7"/>
      <c r="C65" s="16"/>
      <c r="D65" s="234"/>
      <c r="E65" s="140">
        <v>20</v>
      </c>
      <c r="F65" s="2"/>
      <c r="G65" s="50"/>
      <c r="H65" s="128"/>
      <c r="I65" s="58"/>
      <c r="J65" s="58"/>
      <c r="K65" s="58"/>
      <c r="L65" s="56"/>
      <c r="M65" s="56"/>
      <c r="N65" s="56"/>
      <c r="O65" s="56"/>
      <c r="P65" s="56"/>
      <c r="Q65" s="56"/>
      <c r="R65" s="56"/>
      <c r="S65" s="56"/>
    </row>
    <row r="66" spans="1:19" x14ac:dyDescent="0.2">
      <c r="A66" s="251" t="s">
        <v>99</v>
      </c>
      <c r="B66" s="7"/>
      <c r="C66" s="16"/>
      <c r="D66" s="234"/>
      <c r="E66" s="140">
        <v>8</v>
      </c>
      <c r="F66" s="2"/>
      <c r="G66" s="50"/>
      <c r="H66" s="128"/>
      <c r="I66" s="58"/>
      <c r="J66" s="58"/>
      <c r="K66" s="58"/>
      <c r="L66" s="56"/>
      <c r="M66" s="56"/>
      <c r="N66" s="56"/>
      <c r="O66" s="56"/>
      <c r="P66" s="56"/>
      <c r="Q66" s="56"/>
      <c r="R66" s="56"/>
      <c r="S66" s="56"/>
    </row>
    <row r="67" spans="1:19" x14ac:dyDescent="0.2">
      <c r="A67" s="252" t="s">
        <v>128</v>
      </c>
      <c r="B67" s="7"/>
      <c r="C67" s="16"/>
      <c r="D67" s="234"/>
      <c r="E67" s="140">
        <v>20</v>
      </c>
      <c r="F67" s="2"/>
      <c r="G67" s="50"/>
      <c r="H67" s="128"/>
      <c r="I67" s="58"/>
      <c r="J67" s="58"/>
      <c r="K67" s="58"/>
      <c r="L67" s="56"/>
      <c r="M67" s="56"/>
      <c r="N67" s="56"/>
      <c r="O67" s="56"/>
      <c r="P67" s="56"/>
      <c r="Q67" s="56"/>
      <c r="R67" s="56"/>
      <c r="S67" s="56"/>
    </row>
    <row r="68" spans="1:19" x14ac:dyDescent="0.2">
      <c r="A68" s="251" t="s">
        <v>99</v>
      </c>
      <c r="B68" s="7"/>
      <c r="C68" s="16"/>
      <c r="D68" s="234"/>
      <c r="E68" s="140">
        <v>8</v>
      </c>
      <c r="F68" s="2"/>
      <c r="G68" s="50"/>
      <c r="H68" s="128"/>
      <c r="I68" s="58"/>
      <c r="J68" s="58"/>
      <c r="K68" s="58"/>
      <c r="L68" s="56"/>
      <c r="M68" s="56"/>
      <c r="N68" s="56"/>
      <c r="O68" s="56"/>
      <c r="P68" s="56"/>
      <c r="Q68" s="56"/>
      <c r="R68" s="56"/>
      <c r="S68" s="56"/>
    </row>
    <row r="69" spans="1:19" x14ac:dyDescent="0.2">
      <c r="A69" s="212" t="s">
        <v>129</v>
      </c>
      <c r="B69" s="5"/>
      <c r="C69" s="65"/>
      <c r="D69" s="235"/>
      <c r="E69" s="140"/>
      <c r="F69" s="2"/>
      <c r="G69" s="49"/>
      <c r="H69" s="49"/>
      <c r="I69" s="58"/>
      <c r="J69" s="58"/>
      <c r="K69" s="58"/>
      <c r="L69" s="56"/>
      <c r="M69" s="56"/>
      <c r="N69" s="56"/>
      <c r="O69" s="56"/>
      <c r="P69" s="56"/>
      <c r="Q69" s="56"/>
      <c r="R69" s="56"/>
      <c r="S69" s="56"/>
    </row>
    <row r="70" spans="1:19" x14ac:dyDescent="0.2">
      <c r="A70" s="59" t="s">
        <v>99</v>
      </c>
      <c r="B70" s="5"/>
      <c r="C70" s="65"/>
      <c r="D70" s="235"/>
      <c r="E70" s="140"/>
      <c r="F70" s="2"/>
      <c r="G70" s="62"/>
      <c r="H70" s="62"/>
      <c r="I70" s="56"/>
      <c r="J70" s="56"/>
      <c r="K70" s="56"/>
      <c r="L70" s="56"/>
      <c r="M70" s="56"/>
      <c r="N70" s="56"/>
      <c r="O70" s="56"/>
      <c r="P70" s="56"/>
      <c r="Q70" s="56"/>
      <c r="R70" s="56"/>
      <c r="S70" s="56"/>
    </row>
    <row r="71" spans="1:19" x14ac:dyDescent="0.2">
      <c r="A71" s="165" t="s">
        <v>8</v>
      </c>
      <c r="B71" s="7"/>
      <c r="C71" s="16"/>
      <c r="D71" s="5"/>
      <c r="E71" s="254"/>
      <c r="F71" s="2"/>
      <c r="G71" s="2"/>
      <c r="H71" s="2"/>
      <c r="I71" s="2"/>
      <c r="J71" s="2"/>
      <c r="K71" s="2"/>
    </row>
    <row r="72" spans="1:19" x14ac:dyDescent="0.2">
      <c r="A72" s="251" t="s">
        <v>130</v>
      </c>
      <c r="B72" s="7"/>
      <c r="C72" s="16"/>
      <c r="D72" s="5"/>
      <c r="E72" s="254"/>
      <c r="F72" s="2"/>
      <c r="G72" s="2"/>
      <c r="H72" s="2"/>
      <c r="I72" s="2"/>
      <c r="J72" s="2"/>
      <c r="K72" s="2"/>
    </row>
    <row r="73" spans="1:19" x14ac:dyDescent="0.2">
      <c r="A73" s="251" t="s">
        <v>99</v>
      </c>
      <c r="B73" s="7"/>
      <c r="C73" s="16"/>
      <c r="D73" s="5"/>
      <c r="E73" s="254"/>
      <c r="F73" s="2"/>
      <c r="G73" s="2"/>
      <c r="H73" s="2"/>
      <c r="I73" s="2"/>
      <c r="J73" s="2"/>
      <c r="K73" s="2"/>
    </row>
    <row r="74" spans="1:19" x14ac:dyDescent="0.2">
      <c r="A74" s="59" t="s">
        <v>131</v>
      </c>
      <c r="B74" s="5"/>
      <c r="C74" s="65"/>
      <c r="D74" s="235"/>
      <c r="E74" s="140"/>
      <c r="F74" s="2"/>
      <c r="H74" s="58"/>
      <c r="I74" s="58"/>
      <c r="J74" s="58"/>
      <c r="K74" s="58"/>
      <c r="L74" s="56"/>
      <c r="M74" s="56"/>
      <c r="N74" s="56"/>
      <c r="O74" s="56"/>
    </row>
    <row r="75" spans="1:19" x14ac:dyDescent="0.2">
      <c r="A75" s="59" t="s">
        <v>99</v>
      </c>
      <c r="B75" s="5"/>
      <c r="C75" s="65"/>
      <c r="D75" s="235"/>
      <c r="E75" s="140"/>
      <c r="F75" s="2"/>
      <c r="G75" s="2"/>
      <c r="H75" s="58"/>
      <c r="I75" s="58"/>
      <c r="J75" s="58"/>
      <c r="K75" s="58"/>
      <c r="L75" s="56"/>
      <c r="M75" s="56"/>
      <c r="N75" s="56"/>
      <c r="O75" s="56"/>
    </row>
    <row r="76" spans="1:19" x14ac:dyDescent="0.2">
      <c r="A76" s="165" t="s">
        <v>12</v>
      </c>
      <c r="B76" s="7"/>
      <c r="C76" s="16"/>
      <c r="D76" s="5"/>
      <c r="E76" s="254"/>
      <c r="F76" s="2"/>
      <c r="G76" s="2"/>
      <c r="H76" s="58"/>
      <c r="I76" s="58"/>
      <c r="J76" s="58"/>
      <c r="K76" s="58"/>
      <c r="L76" s="56"/>
      <c r="M76" s="56"/>
      <c r="N76" s="56"/>
      <c r="O76" s="56"/>
    </row>
    <row r="77" spans="1:19" ht="13.5" customHeight="1" x14ac:dyDescent="0.2">
      <c r="A77" s="212" t="s">
        <v>132</v>
      </c>
      <c r="B77" s="5"/>
      <c r="C77" s="65"/>
      <c r="D77" s="235"/>
      <c r="E77" s="140"/>
      <c r="F77" s="2"/>
      <c r="G77" s="2"/>
      <c r="H77" s="62"/>
      <c r="I77" s="58"/>
      <c r="J77" s="58"/>
      <c r="K77" s="58"/>
      <c r="L77" s="56"/>
      <c r="M77" s="56"/>
      <c r="N77" s="56"/>
      <c r="O77" s="56"/>
    </row>
    <row r="78" spans="1:19" x14ac:dyDescent="0.2">
      <c r="A78" s="59" t="s">
        <v>99</v>
      </c>
      <c r="B78" s="5"/>
      <c r="C78" s="65"/>
      <c r="D78" s="235"/>
      <c r="E78" s="140"/>
      <c r="F78" s="2"/>
      <c r="G78" s="2"/>
      <c r="H78" s="58"/>
      <c r="I78" s="58"/>
      <c r="J78" s="58"/>
      <c r="K78" s="58"/>
      <c r="L78" s="56"/>
      <c r="M78" s="56"/>
      <c r="N78" s="56"/>
      <c r="O78" s="56"/>
    </row>
    <row r="79" spans="1:19" x14ac:dyDescent="0.2">
      <c r="A79" s="212" t="s">
        <v>30</v>
      </c>
      <c r="B79" s="5"/>
      <c r="C79" s="65"/>
      <c r="D79" s="235"/>
      <c r="E79" s="140"/>
      <c r="F79" s="2"/>
      <c r="G79" s="2"/>
      <c r="H79" s="58"/>
      <c r="I79" s="58"/>
      <c r="J79" s="58"/>
      <c r="K79" s="58"/>
      <c r="L79" s="56"/>
      <c r="M79" s="56"/>
      <c r="N79" s="56"/>
      <c r="O79" s="56"/>
      <c r="P79" s="56"/>
    </row>
    <row r="80" spans="1:19" x14ac:dyDescent="0.2">
      <c r="A80" s="212" t="s">
        <v>31</v>
      </c>
      <c r="B80" s="5"/>
      <c r="C80" s="65"/>
      <c r="D80" s="235"/>
      <c r="E80" s="140"/>
      <c r="F80" s="2"/>
      <c r="G80" s="2"/>
      <c r="H80" s="58"/>
      <c r="I80" s="58"/>
      <c r="J80" s="58"/>
      <c r="K80" s="58"/>
      <c r="L80" s="56"/>
      <c r="M80" s="56"/>
      <c r="N80" s="56"/>
      <c r="O80" s="56"/>
      <c r="P80" s="56"/>
    </row>
    <row r="81" spans="1:23" x14ac:dyDescent="0.2">
      <c r="A81" s="225" t="s">
        <v>199</v>
      </c>
      <c r="B81" s="226"/>
      <c r="C81" s="217"/>
      <c r="D81" s="236"/>
      <c r="E81" s="348">
        <f>SUM(E63:E80)</f>
        <v>56</v>
      </c>
      <c r="F81" s="2"/>
      <c r="G81" s="2"/>
      <c r="H81" s="58"/>
      <c r="I81" s="58"/>
      <c r="J81" s="58"/>
      <c r="K81" s="58"/>
      <c r="L81" s="56"/>
      <c r="M81" s="56"/>
      <c r="N81" s="56"/>
      <c r="O81" s="56"/>
      <c r="P81" s="56"/>
    </row>
    <row r="82" spans="1:23" x14ac:dyDescent="0.2">
      <c r="A82" s="196" t="s">
        <v>10</v>
      </c>
      <c r="B82" s="192"/>
      <c r="C82" s="193"/>
      <c r="D82" s="163"/>
      <c r="E82" s="194"/>
      <c r="F82" s="146"/>
      <c r="G82" s="2"/>
      <c r="H82" s="2"/>
      <c r="I82" s="2"/>
      <c r="J82" s="2"/>
      <c r="K82" s="2"/>
    </row>
    <row r="83" spans="1:23" x14ac:dyDescent="0.2">
      <c r="A83" s="213"/>
      <c r="B83" s="5"/>
      <c r="C83" s="16"/>
      <c r="D83" s="17"/>
      <c r="E83" s="317" t="s">
        <v>241</v>
      </c>
      <c r="F83" s="58"/>
      <c r="G83" s="2"/>
      <c r="H83" s="2"/>
      <c r="I83" s="2"/>
      <c r="J83" s="2"/>
      <c r="K83" s="2"/>
    </row>
    <row r="84" spans="1:23" x14ac:dyDescent="0.2">
      <c r="A84" s="212" t="s">
        <v>118</v>
      </c>
      <c r="B84" s="5"/>
      <c r="C84" s="65"/>
      <c r="D84" s="66"/>
      <c r="E84" s="140"/>
      <c r="F84" s="2"/>
      <c r="G84" s="2"/>
      <c r="H84" s="2"/>
      <c r="I84" s="2"/>
      <c r="J84" s="2"/>
      <c r="K84" s="2"/>
    </row>
    <row r="85" spans="1:23" x14ac:dyDescent="0.2">
      <c r="A85" s="212"/>
      <c r="B85" s="5"/>
      <c r="C85" s="320" t="s">
        <v>116</v>
      </c>
      <c r="D85" s="321" t="s">
        <v>258</v>
      </c>
      <c r="E85" s="317" t="s">
        <v>241</v>
      </c>
      <c r="F85" s="2"/>
      <c r="G85" s="2"/>
      <c r="H85" s="2"/>
      <c r="I85" s="2"/>
      <c r="J85" s="2"/>
      <c r="K85" s="2"/>
    </row>
    <row r="86" spans="1:23" x14ac:dyDescent="0.2">
      <c r="A86" s="29" t="s">
        <v>115</v>
      </c>
      <c r="B86" s="9"/>
      <c r="C86" s="219">
        <v>0</v>
      </c>
      <c r="D86" s="220">
        <v>5.5</v>
      </c>
      <c r="E86" s="344">
        <f>+C86*D86</f>
        <v>0</v>
      </c>
      <c r="F86" s="2"/>
      <c r="G86" s="2"/>
      <c r="H86" s="2"/>
      <c r="I86" s="2"/>
      <c r="J86" s="2"/>
      <c r="K86" s="2"/>
    </row>
    <row r="87" spans="1:23" x14ac:dyDescent="0.2">
      <c r="A87" s="221" t="s">
        <v>117</v>
      </c>
      <c r="B87" s="222"/>
      <c r="C87" s="223"/>
      <c r="D87" s="224"/>
      <c r="E87" s="348">
        <f>E86+E84</f>
        <v>0</v>
      </c>
      <c r="F87" s="2"/>
      <c r="G87" s="2"/>
      <c r="H87" s="2"/>
      <c r="I87" s="2"/>
      <c r="J87" s="2"/>
      <c r="K87" s="2"/>
    </row>
    <row r="88" spans="1:23" ht="15" x14ac:dyDescent="0.25">
      <c r="A88" s="164" t="s">
        <v>93</v>
      </c>
      <c r="B88" s="157"/>
      <c r="C88" s="158"/>
      <c r="D88" s="159"/>
      <c r="E88" s="159"/>
      <c r="F88" s="146"/>
      <c r="G88" s="56"/>
      <c r="H88" s="190"/>
      <c r="I88" s="58"/>
      <c r="J88" s="58"/>
      <c r="K88" s="58"/>
      <c r="L88" s="56"/>
      <c r="M88" s="56"/>
      <c r="N88" s="56"/>
      <c r="O88" s="56"/>
      <c r="P88" s="56"/>
      <c r="Q88" s="56"/>
      <c r="R88" s="56"/>
      <c r="S88" s="56"/>
      <c r="T88" s="56"/>
      <c r="U88" s="56"/>
      <c r="V88" s="56"/>
      <c r="W88" s="56"/>
    </row>
    <row r="89" spans="1:23" ht="13.5" customHeight="1" x14ac:dyDescent="0.2">
      <c r="A89" s="26"/>
      <c r="B89" s="7"/>
      <c r="C89" s="8"/>
      <c r="D89" s="132"/>
      <c r="E89" s="317" t="s">
        <v>241</v>
      </c>
      <c r="F89" s="2"/>
      <c r="H89" s="56"/>
      <c r="I89" s="56"/>
      <c r="J89" s="56"/>
      <c r="K89" s="56"/>
      <c r="L89" s="56"/>
      <c r="M89" s="56"/>
      <c r="N89" s="56"/>
      <c r="O89" s="56"/>
      <c r="P89" s="56"/>
      <c r="Q89" s="56"/>
      <c r="R89" s="56"/>
      <c r="S89" s="56"/>
    </row>
    <row r="90" spans="1:23" ht="13.5" customHeight="1" x14ac:dyDescent="0.2">
      <c r="A90" s="252" t="s">
        <v>233</v>
      </c>
      <c r="B90" s="7"/>
      <c r="C90" s="8"/>
      <c r="D90" s="132"/>
      <c r="E90" s="258">
        <v>185</v>
      </c>
      <c r="F90" s="2"/>
      <c r="H90" s="56"/>
      <c r="I90" s="56"/>
      <c r="J90" s="56"/>
      <c r="K90" s="56"/>
      <c r="L90" s="56"/>
      <c r="M90" s="56"/>
      <c r="N90" s="56"/>
      <c r="O90" s="56"/>
      <c r="P90" s="56"/>
      <c r="Q90" s="56"/>
      <c r="R90" s="56"/>
      <c r="S90" s="56"/>
    </row>
    <row r="91" spans="1:23" x14ac:dyDescent="0.2">
      <c r="A91" s="252" t="s">
        <v>28</v>
      </c>
      <c r="B91" s="7"/>
      <c r="C91" s="65"/>
      <c r="D91" s="66"/>
      <c r="E91" s="140">
        <v>30</v>
      </c>
      <c r="F91" s="2"/>
      <c r="G91" s="2"/>
      <c r="H91" s="58"/>
      <c r="I91" s="58"/>
      <c r="J91" s="58"/>
      <c r="K91" s="58"/>
      <c r="L91" s="56"/>
      <c r="M91" s="56"/>
      <c r="N91" s="56"/>
      <c r="O91" s="56"/>
      <c r="P91" s="56"/>
      <c r="Q91" s="56"/>
      <c r="R91" s="56"/>
      <c r="S91" s="56"/>
    </row>
    <row r="92" spans="1:23" x14ac:dyDescent="0.2">
      <c r="A92" s="252" t="s">
        <v>102</v>
      </c>
      <c r="B92" s="7"/>
      <c r="C92" s="65"/>
      <c r="D92" s="66"/>
      <c r="E92" s="140">
        <v>0</v>
      </c>
      <c r="F92" s="2"/>
      <c r="G92" s="2"/>
      <c r="H92" s="58"/>
      <c r="I92" s="58"/>
      <c r="J92" s="58"/>
      <c r="K92" s="58"/>
      <c r="L92" s="56"/>
      <c r="M92" s="56"/>
      <c r="N92" s="56"/>
      <c r="O92" s="56"/>
      <c r="P92" s="56"/>
      <c r="Q92" s="56"/>
      <c r="R92" s="56"/>
      <c r="S92" s="56"/>
    </row>
    <row r="93" spans="1:23" ht="15" x14ac:dyDescent="0.25">
      <c r="A93" s="252" t="s">
        <v>91</v>
      </c>
      <c r="B93" s="63" t="s">
        <v>234</v>
      </c>
      <c r="C93" s="65"/>
      <c r="D93" s="66"/>
      <c r="E93" s="140">
        <v>0</v>
      </c>
      <c r="F93" s="2"/>
      <c r="G93" s="2"/>
      <c r="H93" s="189"/>
      <c r="I93" s="13"/>
      <c r="J93" s="13"/>
      <c r="K93" s="13"/>
      <c r="L93" s="42"/>
      <c r="M93" s="42"/>
      <c r="N93" s="42"/>
      <c r="O93" s="42"/>
      <c r="P93" s="42"/>
      <c r="Q93" s="42"/>
      <c r="R93" s="42"/>
      <c r="S93" s="42"/>
    </row>
    <row r="94" spans="1:23" ht="15" x14ac:dyDescent="0.25">
      <c r="A94" s="252" t="s">
        <v>101</v>
      </c>
      <c r="B94" s="63"/>
      <c r="C94" s="65"/>
      <c r="D94" s="66"/>
      <c r="E94" s="281">
        <v>1.45</v>
      </c>
      <c r="F94" s="2"/>
      <c r="G94" s="2"/>
      <c r="H94" s="189"/>
      <c r="I94" s="13"/>
      <c r="J94" s="13"/>
      <c r="K94" s="13"/>
      <c r="L94" s="42"/>
      <c r="M94" s="42"/>
      <c r="N94" s="42"/>
      <c r="O94" s="42"/>
      <c r="P94" s="42"/>
      <c r="Q94" s="42"/>
      <c r="R94" s="42"/>
      <c r="S94" s="42"/>
    </row>
    <row r="95" spans="1:23" x14ac:dyDescent="0.2">
      <c r="A95" s="215" t="s">
        <v>120</v>
      </c>
      <c r="B95" s="216"/>
      <c r="C95" s="217"/>
      <c r="D95" s="218"/>
      <c r="E95" s="348">
        <f>SUM(E90:E94)</f>
        <v>216.45</v>
      </c>
      <c r="F95" s="2"/>
      <c r="G95" s="2"/>
      <c r="H95" s="58"/>
      <c r="I95" s="58"/>
      <c r="J95" s="58"/>
      <c r="K95" s="58"/>
      <c r="L95" s="56"/>
      <c r="M95" s="56"/>
      <c r="N95" s="56"/>
      <c r="O95" s="56"/>
      <c r="P95" s="56"/>
      <c r="Q95" s="56"/>
      <c r="R95" s="56"/>
      <c r="S95" s="56"/>
    </row>
    <row r="96" spans="1:23" x14ac:dyDescent="0.2">
      <c r="A96" s="144"/>
      <c r="B96" s="157"/>
      <c r="C96" s="202"/>
      <c r="D96" s="203"/>
      <c r="E96" s="198"/>
      <c r="F96" s="146"/>
      <c r="G96" s="2"/>
      <c r="H96" s="2"/>
      <c r="I96" s="2"/>
      <c r="J96" s="2"/>
      <c r="K96" s="2"/>
    </row>
    <row r="97" spans="1:17" x14ac:dyDescent="0.2">
      <c r="A97" s="22" t="s">
        <v>11</v>
      </c>
      <c r="B97" s="5"/>
      <c r="C97" s="16"/>
      <c r="D97" s="17"/>
      <c r="E97" s="348">
        <f>E52+E60+E81+E87+E95</f>
        <v>488.5</v>
      </c>
      <c r="F97" s="2"/>
      <c r="G97" s="2"/>
      <c r="H97" s="2"/>
      <c r="I97" s="2"/>
      <c r="J97" s="2"/>
      <c r="K97" s="2"/>
    </row>
    <row r="98" spans="1:17" x14ac:dyDescent="0.2">
      <c r="A98" s="22"/>
      <c r="B98" s="5"/>
      <c r="C98" s="16"/>
      <c r="D98" s="17"/>
      <c r="E98" s="186"/>
      <c r="F98" s="2"/>
      <c r="G98" s="2"/>
      <c r="H98" s="2"/>
      <c r="I98" s="2"/>
      <c r="J98" s="2"/>
      <c r="K98" s="2"/>
    </row>
    <row r="99" spans="1:17" x14ac:dyDescent="0.2">
      <c r="A99" s="195" t="s">
        <v>100</v>
      </c>
      <c r="B99" s="146"/>
      <c r="C99" s="187"/>
      <c r="D99" s="157"/>
      <c r="E99" s="146"/>
      <c r="F99" s="146"/>
    </row>
    <row r="100" spans="1:17" x14ac:dyDescent="0.2">
      <c r="A100" s="18" t="s">
        <v>121</v>
      </c>
      <c r="B100" s="2"/>
      <c r="C100" s="311" t="s">
        <v>257</v>
      </c>
      <c r="D100" s="323" t="s">
        <v>256</v>
      </c>
      <c r="E100" s="310" t="s">
        <v>241</v>
      </c>
      <c r="F100" s="2"/>
      <c r="Q100" s="87"/>
    </row>
    <row r="101" spans="1:17" x14ac:dyDescent="0.2">
      <c r="A101" s="289" t="s">
        <v>82</v>
      </c>
      <c r="B101" s="7"/>
      <c r="C101" s="112">
        <v>1</v>
      </c>
      <c r="D101" s="139">
        <v>20</v>
      </c>
      <c r="E101" s="339">
        <f>C101*D101</f>
        <v>20</v>
      </c>
      <c r="F101" s="2"/>
    </row>
    <row r="102" spans="1:17" x14ac:dyDescent="0.2">
      <c r="A102" s="289" t="s">
        <v>9</v>
      </c>
      <c r="B102" s="7"/>
      <c r="C102" s="112">
        <v>1</v>
      </c>
      <c r="D102" s="140">
        <v>17.5</v>
      </c>
      <c r="E102" s="339">
        <f t="shared" ref="E102:E109" si="2">C102*D102</f>
        <v>17.5</v>
      </c>
      <c r="F102" s="2"/>
    </row>
    <row r="103" spans="1:17" x14ac:dyDescent="0.2">
      <c r="A103" s="289" t="s">
        <v>42</v>
      </c>
      <c r="B103" s="7"/>
      <c r="C103" s="112">
        <v>1</v>
      </c>
      <c r="D103" s="140">
        <v>25</v>
      </c>
      <c r="E103" s="339">
        <f t="shared" si="2"/>
        <v>25</v>
      </c>
      <c r="F103" s="2"/>
    </row>
    <row r="104" spans="1:17" x14ac:dyDescent="0.2">
      <c r="A104" s="289"/>
      <c r="B104" s="7"/>
      <c r="C104" s="112"/>
      <c r="D104" s="140">
        <v>0</v>
      </c>
      <c r="E104" s="339">
        <f t="shared" si="2"/>
        <v>0</v>
      </c>
      <c r="F104" s="2"/>
    </row>
    <row r="105" spans="1:17" x14ac:dyDescent="0.2">
      <c r="A105" s="289"/>
      <c r="B105" s="7"/>
      <c r="C105" s="112"/>
      <c r="D105" s="140">
        <v>0</v>
      </c>
      <c r="E105" s="339">
        <f t="shared" si="2"/>
        <v>0</v>
      </c>
      <c r="F105" s="2"/>
    </row>
    <row r="106" spans="1:17" ht="14.25" customHeight="1" x14ac:dyDescent="0.2">
      <c r="A106" s="303" t="s">
        <v>108</v>
      </c>
      <c r="B106" s="7"/>
      <c r="C106" s="112">
        <v>1</v>
      </c>
      <c r="D106" s="140">
        <v>18</v>
      </c>
      <c r="E106" s="339">
        <f t="shared" si="2"/>
        <v>18</v>
      </c>
      <c r="F106" s="2"/>
    </row>
    <row r="107" spans="1:17" ht="14.25" customHeight="1" x14ac:dyDescent="0.2">
      <c r="A107" s="303"/>
      <c r="B107" s="7"/>
      <c r="C107" s="112"/>
      <c r="D107" s="140">
        <v>0</v>
      </c>
      <c r="E107" s="339">
        <v>0</v>
      </c>
      <c r="F107" s="2"/>
    </row>
    <row r="108" spans="1:17" ht="14.25" customHeight="1" x14ac:dyDescent="0.2">
      <c r="A108" s="303"/>
      <c r="B108" s="7"/>
      <c r="C108" s="112"/>
      <c r="D108" s="140">
        <v>0</v>
      </c>
      <c r="E108" s="339">
        <v>0</v>
      </c>
      <c r="F108" s="2"/>
      <c r="H108" s="563" t="s">
        <v>337</v>
      </c>
    </row>
    <row r="109" spans="1:17" ht="12" customHeight="1" x14ac:dyDescent="0.2">
      <c r="A109" s="303"/>
      <c r="B109" s="5"/>
      <c r="C109" s="112"/>
      <c r="D109" s="140">
        <v>0</v>
      </c>
      <c r="E109" s="339">
        <f t="shared" si="2"/>
        <v>0</v>
      </c>
      <c r="F109" s="2"/>
      <c r="H109" s="564" t="s">
        <v>357</v>
      </c>
    </row>
    <row r="110" spans="1:17" ht="12.75" customHeight="1" x14ac:dyDescent="0.2">
      <c r="A110" s="289"/>
      <c r="B110" s="5"/>
      <c r="C110" s="112"/>
      <c r="D110" s="140">
        <v>0</v>
      </c>
      <c r="E110" s="343">
        <f>C110*D110</f>
        <v>0</v>
      </c>
      <c r="F110" s="2"/>
    </row>
    <row r="111" spans="1:17" ht="12" customHeight="1" x14ac:dyDescent="0.2">
      <c r="A111" s="22" t="s">
        <v>226</v>
      </c>
      <c r="B111" s="5"/>
      <c r="C111" s="16"/>
      <c r="D111" s="5"/>
      <c r="E111" s="348">
        <f>SUM(E101:E110)</f>
        <v>80.5</v>
      </c>
      <c r="F111" s="2"/>
      <c r="H111" s="563" t="s">
        <v>335</v>
      </c>
    </row>
    <row r="112" spans="1:17" ht="12" customHeight="1" x14ac:dyDescent="0.2">
      <c r="A112" s="15"/>
      <c r="B112" s="5"/>
      <c r="C112" s="16"/>
      <c r="D112" s="5"/>
      <c r="E112" s="186"/>
      <c r="F112" s="2"/>
      <c r="H112" s="564" t="s">
        <v>336</v>
      </c>
    </row>
    <row r="113" spans="1:19" ht="12.75" customHeight="1" x14ac:dyDescent="0.2">
      <c r="A113" s="22" t="s">
        <v>122</v>
      </c>
      <c r="B113" s="5"/>
      <c r="C113" s="310" t="s">
        <v>257</v>
      </c>
      <c r="D113" s="310" t="s">
        <v>256</v>
      </c>
      <c r="E113" s="310" t="s">
        <v>241</v>
      </c>
      <c r="F113" s="2"/>
      <c r="H113" s="57" t="s">
        <v>359</v>
      </c>
    </row>
    <row r="114" spans="1:19" ht="12.75" customHeight="1" x14ac:dyDescent="0.2">
      <c r="A114" s="285" t="s">
        <v>3</v>
      </c>
      <c r="B114" s="5"/>
      <c r="C114" s="112">
        <v>1</v>
      </c>
      <c r="D114" s="141">
        <v>38</v>
      </c>
      <c r="E114" s="343">
        <f>C114*D114</f>
        <v>38</v>
      </c>
      <c r="F114" s="2"/>
    </row>
    <row r="115" spans="1:19" ht="12.75" customHeight="1" x14ac:dyDescent="0.2">
      <c r="A115" s="289" t="s">
        <v>43</v>
      </c>
      <c r="B115" s="63"/>
      <c r="C115" s="112"/>
      <c r="D115" s="141">
        <v>0</v>
      </c>
      <c r="E115" s="343">
        <v>0</v>
      </c>
      <c r="F115" s="2"/>
      <c r="H115" t="s">
        <v>360</v>
      </c>
      <c r="S115" s="32"/>
    </row>
    <row r="116" spans="1:19" ht="12.75" customHeight="1" x14ac:dyDescent="0.2">
      <c r="A116" s="289" t="s">
        <v>137</v>
      </c>
      <c r="B116" s="7"/>
      <c r="C116" s="112"/>
      <c r="D116" s="141">
        <v>0</v>
      </c>
      <c r="E116" s="343">
        <v>0</v>
      </c>
      <c r="F116" s="2"/>
      <c r="H116" s="564" t="s">
        <v>361</v>
      </c>
      <c r="S116" s="32"/>
    </row>
    <row r="117" spans="1:19" ht="12.75" customHeight="1" x14ac:dyDescent="0.2">
      <c r="A117" s="289"/>
      <c r="B117" s="63"/>
      <c r="C117" s="112"/>
      <c r="D117" s="141">
        <v>0</v>
      </c>
      <c r="E117" s="343">
        <v>0</v>
      </c>
      <c r="F117" s="2"/>
      <c r="S117" s="32"/>
    </row>
    <row r="118" spans="1:19" ht="12.75" customHeight="1" x14ac:dyDescent="0.2">
      <c r="A118" s="289"/>
      <c r="B118" s="63"/>
      <c r="C118" s="112"/>
      <c r="D118" s="141">
        <v>0</v>
      </c>
      <c r="E118" s="343">
        <v>0</v>
      </c>
      <c r="F118" s="2"/>
      <c r="H118" s="563" t="s">
        <v>338</v>
      </c>
      <c r="S118" s="32"/>
    </row>
    <row r="119" spans="1:19" ht="12.75" customHeight="1" x14ac:dyDescent="0.2">
      <c r="A119" s="289"/>
      <c r="B119" s="63"/>
      <c r="C119" s="112"/>
      <c r="D119" s="140">
        <v>0</v>
      </c>
      <c r="E119" s="343">
        <v>0</v>
      </c>
      <c r="F119" s="2"/>
      <c r="H119" s="564" t="s">
        <v>339</v>
      </c>
      <c r="S119" s="32"/>
    </row>
    <row r="120" spans="1:19" ht="12.75" customHeight="1" x14ac:dyDescent="0.2">
      <c r="A120" s="18" t="s">
        <v>204</v>
      </c>
      <c r="B120" s="185"/>
      <c r="C120" s="65"/>
      <c r="D120" s="235"/>
      <c r="E120" s="348">
        <f>SUM(E114:E119)</f>
        <v>38</v>
      </c>
      <c r="F120" s="2"/>
      <c r="S120" s="32"/>
    </row>
    <row r="121" spans="1:19" ht="12.75" customHeight="1" x14ac:dyDescent="0.2">
      <c r="A121" s="185"/>
      <c r="B121" s="185"/>
      <c r="C121" s="65"/>
      <c r="D121" s="235"/>
      <c r="E121" s="145"/>
      <c r="F121" s="2"/>
      <c r="H121" s="563" t="s">
        <v>340</v>
      </c>
      <c r="S121" s="32"/>
    </row>
    <row r="122" spans="1:19" ht="12.75" customHeight="1" x14ac:dyDescent="0.2">
      <c r="A122" s="359" t="s">
        <v>34</v>
      </c>
      <c r="B122" s="378" t="s">
        <v>255</v>
      </c>
      <c r="C122" s="363" t="s">
        <v>124</v>
      </c>
      <c r="D122" s="333" t="s">
        <v>254</v>
      </c>
      <c r="E122" s="364" t="s">
        <v>241</v>
      </c>
      <c r="F122" s="58"/>
      <c r="H122" s="564" t="s">
        <v>358</v>
      </c>
      <c r="S122" s="32"/>
    </row>
    <row r="123" spans="1:19" ht="12.75" customHeight="1" x14ac:dyDescent="0.2">
      <c r="A123" s="289" t="s">
        <v>134</v>
      </c>
      <c r="B123" s="360">
        <v>900</v>
      </c>
      <c r="C123" s="282">
        <v>40</v>
      </c>
      <c r="D123" s="361">
        <v>4</v>
      </c>
      <c r="E123" s="362">
        <f>((C123*D123)*(C14/B123))</f>
        <v>9.2444444444444436</v>
      </c>
      <c r="F123" s="2"/>
      <c r="S123" s="32"/>
    </row>
    <row r="124" spans="1:19" ht="12.75" customHeight="1" x14ac:dyDescent="0.2">
      <c r="A124" s="326"/>
      <c r="B124" s="297">
        <v>450</v>
      </c>
      <c r="C124" s="123"/>
      <c r="D124" s="259">
        <v>0</v>
      </c>
      <c r="E124" s="344">
        <f>((C124*D124)*(C15/B124))</f>
        <v>0</v>
      </c>
      <c r="F124" s="2"/>
      <c r="S124" s="32"/>
    </row>
    <row r="125" spans="1:19" ht="12.75" customHeight="1" x14ac:dyDescent="0.2">
      <c r="A125" s="239" t="s">
        <v>205</v>
      </c>
      <c r="B125" s="237"/>
      <c r="C125" s="217"/>
      <c r="D125" s="218"/>
      <c r="E125" s="348">
        <f>E120+E123+E124</f>
        <v>47.24444444444444</v>
      </c>
      <c r="F125" s="2"/>
      <c r="S125" s="32"/>
    </row>
    <row r="126" spans="1:19" ht="12.75" customHeight="1" x14ac:dyDescent="0.2">
      <c r="A126" s="164" t="s">
        <v>32</v>
      </c>
      <c r="B126" s="209"/>
      <c r="C126" s="161"/>
      <c r="D126" s="162"/>
      <c r="E126" s="163"/>
      <c r="F126" s="210"/>
      <c r="S126" s="32"/>
    </row>
    <row r="127" spans="1:19" ht="12.75" customHeight="1" x14ac:dyDescent="0.2">
      <c r="A127" s="185"/>
      <c r="B127" s="185"/>
      <c r="C127" s="320" t="s">
        <v>109</v>
      </c>
      <c r="D127" s="321" t="s">
        <v>253</v>
      </c>
      <c r="E127" s="85" t="s">
        <v>241</v>
      </c>
      <c r="F127" s="13"/>
      <c r="S127" s="32"/>
    </row>
    <row r="128" spans="1:19" ht="12.75" customHeight="1" x14ac:dyDescent="0.2">
      <c r="A128" s="185" t="s">
        <v>110</v>
      </c>
      <c r="B128" s="185"/>
      <c r="C128" s="112"/>
      <c r="D128" s="140"/>
      <c r="E128" s="343">
        <f>(C128*D128)*C14</f>
        <v>0</v>
      </c>
      <c r="F128" s="13"/>
      <c r="S128" s="32"/>
    </row>
    <row r="129" spans="1:19" ht="12.75" customHeight="1" x14ac:dyDescent="0.2">
      <c r="A129" s="185"/>
      <c r="B129" s="99" t="s">
        <v>111</v>
      </c>
      <c r="C129" s="320" t="s">
        <v>112</v>
      </c>
      <c r="D129" s="325" t="s">
        <v>252</v>
      </c>
      <c r="E129" s="85" t="s">
        <v>241</v>
      </c>
      <c r="F129" s="13"/>
      <c r="S129" s="32"/>
    </row>
    <row r="130" spans="1:19" ht="12.75" customHeight="1" x14ac:dyDescent="0.2">
      <c r="A130" s="185" t="s">
        <v>32</v>
      </c>
      <c r="B130" s="305">
        <v>1</v>
      </c>
      <c r="C130" s="112">
        <v>6</v>
      </c>
      <c r="D130" s="140">
        <v>0.04</v>
      </c>
      <c r="E130" s="349">
        <f>(C14*B130)*(C130*D130)</f>
        <v>12.48</v>
      </c>
      <c r="F130" s="13"/>
      <c r="S130" s="32"/>
    </row>
    <row r="131" spans="1:19" s="56" customFormat="1" ht="12.75" customHeight="1" x14ac:dyDescent="0.2">
      <c r="A131" s="205" t="s">
        <v>104</v>
      </c>
      <c r="B131" s="160"/>
      <c r="C131" s="206"/>
      <c r="D131" s="207"/>
      <c r="E131" s="208"/>
      <c r="F131" s="146"/>
      <c r="S131" s="200"/>
    </row>
    <row r="132" spans="1:19" ht="12.75" customHeight="1" x14ac:dyDescent="0.2">
      <c r="A132" s="185"/>
      <c r="B132" s="185"/>
      <c r="C132" s="320" t="s">
        <v>251</v>
      </c>
      <c r="D132" s="321" t="s">
        <v>250</v>
      </c>
      <c r="E132" s="85" t="s">
        <v>241</v>
      </c>
      <c r="F132" s="2"/>
      <c r="G132" s="29"/>
      <c r="S132" s="32"/>
    </row>
    <row r="133" spans="1:19" ht="12.75" customHeight="1" x14ac:dyDescent="0.2">
      <c r="A133" s="365" t="s">
        <v>45</v>
      </c>
      <c r="B133" s="366"/>
      <c r="C133" s="240">
        <v>1.5</v>
      </c>
      <c r="D133" s="140">
        <v>9</v>
      </c>
      <c r="E133" s="343">
        <f>C133*D133</f>
        <v>13.5</v>
      </c>
      <c r="F133" s="2"/>
      <c r="S133" s="32"/>
    </row>
    <row r="134" spans="1:19" ht="12.75" customHeight="1" x14ac:dyDescent="0.2">
      <c r="A134" s="185"/>
      <c r="B134" s="185"/>
      <c r="C134" s="65"/>
      <c r="D134" s="66"/>
      <c r="E134" s="17"/>
      <c r="F134" s="2"/>
      <c r="S134" s="32"/>
    </row>
    <row r="135" spans="1:19" ht="12.75" customHeight="1" x14ac:dyDescent="0.2">
      <c r="A135" s="209"/>
      <c r="B135" s="167"/>
      <c r="C135" s="161"/>
      <c r="D135" s="162"/>
      <c r="E135" s="211"/>
      <c r="F135" s="146"/>
    </row>
    <row r="136" spans="1:19" ht="12.75" customHeight="1" x14ac:dyDescent="0.2">
      <c r="A136" s="52" t="s">
        <v>113</v>
      </c>
      <c r="B136" s="2"/>
      <c r="C136" s="327">
        <v>5.1999999999999998E-2</v>
      </c>
      <c r="D136" s="2"/>
      <c r="E136" s="339">
        <f>(C136*0.67)*(E97+(0.2*E111))</f>
        <v>17.580264000000003</v>
      </c>
      <c r="F136" s="2"/>
      <c r="G136" s="136" t="s">
        <v>59</v>
      </c>
      <c r="H136" s="137"/>
      <c r="I136" s="137"/>
      <c r="J136" s="137"/>
      <c r="K136" s="137"/>
      <c r="L136" s="138"/>
    </row>
    <row r="137" spans="1:19" ht="12.75" customHeight="1" x14ac:dyDescent="0.2">
      <c r="A137" s="23"/>
      <c r="B137" s="2"/>
      <c r="C137" s="2"/>
      <c r="D137" s="2"/>
      <c r="E137" s="30"/>
      <c r="F137" s="2"/>
      <c r="G137" s="20"/>
      <c r="H137" s="20"/>
      <c r="I137" s="70"/>
      <c r="J137" s="70"/>
      <c r="K137" s="20"/>
      <c r="L137" s="70"/>
      <c r="M137" s="71"/>
    </row>
    <row r="138" spans="1:19" ht="12.75" customHeight="1" x14ac:dyDescent="0.2">
      <c r="A138" s="52" t="s">
        <v>85</v>
      </c>
      <c r="B138" s="68"/>
      <c r="C138" s="69"/>
      <c r="D138" s="66"/>
      <c r="E138" s="341">
        <f>E16*0.05</f>
        <v>36.659999999999997</v>
      </c>
      <c r="F138" s="58"/>
    </row>
    <row r="139" spans="1:19" ht="12.75" customHeight="1" x14ac:dyDescent="0.2">
      <c r="A139" s="67" t="s">
        <v>232</v>
      </c>
      <c r="B139" s="2"/>
      <c r="C139" s="24"/>
      <c r="E139" s="341">
        <f>E97+E111+E125+E128+E130+E133+E136+E138</f>
        <v>696.46470844444445</v>
      </c>
      <c r="F139" s="2"/>
    </row>
    <row r="140" spans="1:19" ht="12.75" customHeight="1" x14ac:dyDescent="0.2">
      <c r="A140" s="67" t="s">
        <v>231</v>
      </c>
      <c r="B140" s="2"/>
      <c r="C140" s="2"/>
      <c r="D140" s="24"/>
      <c r="E140" s="341">
        <f>E16-E139</f>
        <v>36.735291555555477</v>
      </c>
      <c r="F140" s="2"/>
    </row>
    <row r="141" spans="1:19" ht="14.25" x14ac:dyDescent="0.2">
      <c r="A141" s="33"/>
      <c r="B141" s="2"/>
      <c r="C141" s="85"/>
      <c r="D141" s="85"/>
      <c r="E141" s="86"/>
    </row>
    <row r="142" spans="1:19" x14ac:dyDescent="0.2">
      <c r="A142" s="252" t="s">
        <v>44</v>
      </c>
      <c r="B142" s="7"/>
      <c r="C142" s="65"/>
      <c r="D142" s="84"/>
      <c r="E142" s="350">
        <f>E139/C14</f>
        <v>13.393552085470086</v>
      </c>
    </row>
    <row r="143" spans="1:19" x14ac:dyDescent="0.2">
      <c r="A143" s="6"/>
      <c r="B143" s="7"/>
      <c r="C143" s="2"/>
      <c r="D143" s="2"/>
      <c r="E143" s="2"/>
    </row>
    <row r="144" spans="1:19" x14ac:dyDescent="0.2">
      <c r="C144" s="595" t="s">
        <v>26</v>
      </c>
      <c r="D144" s="596"/>
      <c r="E144" s="596"/>
      <c r="F144" s="596"/>
      <c r="G144" s="597"/>
    </row>
    <row r="145" spans="1:7" x14ac:dyDescent="0.2">
      <c r="C145" s="247"/>
      <c r="D145" s="248"/>
      <c r="E145" s="248"/>
      <c r="F145" s="248"/>
      <c r="G145" s="249"/>
    </row>
    <row r="146" spans="1:7" x14ac:dyDescent="0.2">
      <c r="C146" s="600" t="s">
        <v>18</v>
      </c>
      <c r="D146" s="601"/>
      <c r="E146" s="601"/>
      <c r="F146" s="601"/>
      <c r="G146" s="602"/>
    </row>
    <row r="147" spans="1:7" x14ac:dyDescent="0.2">
      <c r="A147" s="598" t="s">
        <v>24</v>
      </c>
      <c r="B147" s="599"/>
      <c r="C147" s="35"/>
      <c r="D147" s="35"/>
      <c r="E147" s="35"/>
      <c r="F147" s="36"/>
      <c r="G147" s="36"/>
    </row>
    <row r="148" spans="1:7" x14ac:dyDescent="0.2">
      <c r="A148" s="357" t="s">
        <v>27</v>
      </c>
      <c r="B148" s="358" t="s">
        <v>0</v>
      </c>
      <c r="C148" s="600" t="s">
        <v>26</v>
      </c>
      <c r="D148" s="601"/>
      <c r="E148" s="601"/>
      <c r="F148" s="601"/>
      <c r="G148" s="602"/>
    </row>
    <row r="149" spans="1:7" x14ac:dyDescent="0.2">
      <c r="A149" s="38" t="s">
        <v>21</v>
      </c>
      <c r="B149" s="39">
        <f>C14*1.2</f>
        <v>62.4</v>
      </c>
      <c r="C149" s="40">
        <f>(C$154*$B149)-$E$139</f>
        <v>7.4072915555556165</v>
      </c>
      <c r="D149" s="40">
        <f>(D$154*B149)-$E$139</f>
        <v>95.39129155555554</v>
      </c>
      <c r="E149" s="40">
        <f>(E$154*$B149)-E$139</f>
        <v>183.37529155555546</v>
      </c>
      <c r="F149" s="41">
        <f>(F$154*$B149)-E$139</f>
        <v>271.35929155555561</v>
      </c>
      <c r="G149" s="41">
        <f>(G$154*B149)-E$139</f>
        <v>359.34329155555531</v>
      </c>
    </row>
    <row r="150" spans="1:7" x14ac:dyDescent="0.2">
      <c r="A150" s="38" t="s">
        <v>20</v>
      </c>
      <c r="B150" s="39">
        <f>C14*1.1</f>
        <v>57.2</v>
      </c>
      <c r="C150" s="40">
        <f>(C$154*B150)-$E$139</f>
        <v>-51.248708444444333</v>
      </c>
      <c r="D150" s="40">
        <f>(D$154*B150)-$E$139</f>
        <v>29.403291555555597</v>
      </c>
      <c r="E150" s="40">
        <f>(E$154*$B150)-E$139</f>
        <v>110.05529155555553</v>
      </c>
      <c r="F150" s="41">
        <f>(F$154*$B150)-E$139</f>
        <v>190.70729155555568</v>
      </c>
      <c r="G150" s="41">
        <f>(G$154*B150)-E$139</f>
        <v>271.3592915555555</v>
      </c>
    </row>
    <row r="151" spans="1:7" x14ac:dyDescent="0.2">
      <c r="A151" s="250"/>
      <c r="B151" s="39">
        <f>C14</f>
        <v>52</v>
      </c>
      <c r="C151" s="40">
        <f>(C$154*B151)-$E$139</f>
        <v>-109.9047084444444</v>
      </c>
      <c r="D151" s="40">
        <f>(D$154*B151)-$E$139</f>
        <v>-36.584708444444459</v>
      </c>
      <c r="E151" s="43">
        <f>(E$154*$B151)-E$139</f>
        <v>36.735291555555477</v>
      </c>
      <c r="F151" s="41">
        <f>(F$154*$B151)-E$139</f>
        <v>110.05529155555564</v>
      </c>
      <c r="G151" s="41">
        <f>(G$154*B151)-E$139</f>
        <v>183.37529155555546</v>
      </c>
    </row>
    <row r="152" spans="1:7" x14ac:dyDescent="0.2">
      <c r="A152" s="38" t="s">
        <v>22</v>
      </c>
      <c r="B152" s="39">
        <f>C14*0.9</f>
        <v>46.800000000000004</v>
      </c>
      <c r="C152" s="40">
        <f>(C$154*B152)-$E$139</f>
        <v>-168.56070844444434</v>
      </c>
      <c r="D152" s="40">
        <f>(D$154*B152)-$E$139</f>
        <v>-102.5727084444444</v>
      </c>
      <c r="E152" s="40">
        <f>(E$154*$B152)-E$139</f>
        <v>-36.584708444444459</v>
      </c>
      <c r="F152" s="41">
        <f>(F$154*$B152)-E$139</f>
        <v>29.403291555555711</v>
      </c>
      <c r="G152" s="41">
        <f>(G$154*B152)-E$139</f>
        <v>95.39129155555554</v>
      </c>
    </row>
    <row r="153" spans="1:7" x14ac:dyDescent="0.2">
      <c r="A153" s="38" t="s">
        <v>23</v>
      </c>
      <c r="B153" s="39">
        <f>C14*0.8</f>
        <v>41.6</v>
      </c>
      <c r="C153" s="40">
        <f>(C$154*B153)-$E$139</f>
        <v>-227.21670844444441</v>
      </c>
      <c r="D153" s="40">
        <f>(D$154*B153)-$E$139</f>
        <v>-168.56070844444446</v>
      </c>
      <c r="E153" s="40">
        <f>(E$154*$B153)-E$139</f>
        <v>-109.9047084444444</v>
      </c>
      <c r="F153" s="41">
        <f>(F$154*$B153)-E$139</f>
        <v>-51.248708444444333</v>
      </c>
      <c r="G153" s="41">
        <f>(G$154*B153)-E$139</f>
        <v>7.4072915555555028</v>
      </c>
    </row>
    <row r="154" spans="1:7" x14ac:dyDescent="0.2">
      <c r="A154" s="384" t="s">
        <v>25</v>
      </c>
      <c r="B154" s="379"/>
      <c r="C154" s="380">
        <f>D14*0.8</f>
        <v>11.280000000000001</v>
      </c>
      <c r="D154" s="380">
        <f>D14*0.9</f>
        <v>12.69</v>
      </c>
      <c r="E154" s="380">
        <f>D14</f>
        <v>14.1</v>
      </c>
      <c r="F154" s="380">
        <f>D14*1.1</f>
        <v>15.510000000000002</v>
      </c>
      <c r="G154" s="380">
        <f>D14*1.2</f>
        <v>16.919999999999998</v>
      </c>
    </row>
    <row r="155" spans="1:7" x14ac:dyDescent="0.2">
      <c r="A155" s="384" t="s">
        <v>19</v>
      </c>
      <c r="B155" s="379"/>
      <c r="C155" s="381" t="s">
        <v>23</v>
      </c>
      <c r="D155" s="381" t="s">
        <v>22</v>
      </c>
      <c r="E155" s="382"/>
      <c r="F155" s="381" t="s">
        <v>20</v>
      </c>
      <c r="G155" s="383" t="s">
        <v>21</v>
      </c>
    </row>
  </sheetData>
  <sheetProtection algorithmName="SHA-512" hashValue="LV41D0eog4aT80IUOGD+ZNwsepsYDkjdAjty60k7jSk9OcuZaLc3mIEX6GgbnH9NpT4hzikxtz3Ut7wDQRLpSA==" saltValue="2MuGOlntg8JNi38E2Hh7EQ==" spinCount="100000" sheet="1" objects="1" scenarios="1"/>
  <mergeCells count="4">
    <mergeCell ref="C144:G144"/>
    <mergeCell ref="C146:G146"/>
    <mergeCell ref="A147:B147"/>
    <mergeCell ref="C148:G148"/>
  </mergeCells>
  <hyperlinks>
    <hyperlink ref="H112" r:id="rId1" xr:uid="{B214A891-B8C5-41B7-8E0A-26F3E60BABB9}"/>
    <hyperlink ref="H119" r:id="rId2" xr:uid="{E8D06C57-E28F-4694-965E-071AA156AD64}"/>
    <hyperlink ref="H113" r:id="rId3" xr:uid="{9FFF6A8A-06FE-4B0E-A35E-D7CCAD446F98}"/>
    <hyperlink ref="H116" r:id="rId4" xr:uid="{F3AF2E22-8549-470A-AE01-1683C1C45810}"/>
  </hyperlinks>
  <pageMargins left="0.7" right="0.7" top="0.75" bottom="0.75" header="0.3" footer="0.3"/>
  <pageSetup scale="44" fitToHeight="0" orientation="portrait" verticalDpi="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X179"/>
  <sheetViews>
    <sheetView zoomScaleNormal="100" workbookViewId="0">
      <selection activeCell="C14" sqref="C14"/>
    </sheetView>
  </sheetViews>
  <sheetFormatPr defaultColWidth="8.42578125" defaultRowHeight="12.75" x14ac:dyDescent="0.2"/>
  <cols>
    <col min="1" max="1" width="24.7109375" customWidth="1"/>
    <col min="2" max="2" width="15.85546875" customWidth="1"/>
    <col min="3" max="3" width="15.42578125" customWidth="1"/>
    <col min="4" max="4" width="14.42578125" customWidth="1"/>
    <col min="5" max="5" width="11.28515625" customWidth="1"/>
    <col min="6" max="6" width="7.28515625" customWidth="1"/>
    <col min="7" max="7" width="13.42578125" customWidth="1"/>
    <col min="8" max="9" width="7.42578125" customWidth="1"/>
    <col min="10" max="10" width="8.42578125" customWidth="1"/>
    <col min="11" max="11" width="8" customWidth="1"/>
  </cols>
  <sheetData>
    <row r="1" spans="1:11" ht="15.75" customHeight="1" x14ac:dyDescent="0.2">
      <c r="A1" s="29" t="s">
        <v>29</v>
      </c>
      <c r="E1" s="57"/>
    </row>
    <row r="2" spans="1:11" ht="8.25" customHeight="1" x14ac:dyDescent="0.2"/>
    <row r="3" spans="1:11" ht="15" customHeight="1" x14ac:dyDescent="0.2"/>
    <row r="4" spans="1:11" ht="8.25" customHeight="1" x14ac:dyDescent="0.2"/>
    <row r="5" spans="1:11" ht="18.75" customHeight="1" x14ac:dyDescent="0.25">
      <c r="A5" s="4" t="s">
        <v>319</v>
      </c>
      <c r="B5" s="2"/>
      <c r="D5" s="28"/>
      <c r="E5" s="54"/>
      <c r="F5" s="2"/>
      <c r="G5" s="2"/>
      <c r="H5" s="2"/>
      <c r="I5" s="2"/>
      <c r="J5" s="2"/>
      <c r="K5" s="2"/>
    </row>
    <row r="6" spans="1:11" ht="5.25" customHeight="1" x14ac:dyDescent="0.2">
      <c r="A6" s="2"/>
      <c r="B6" s="2"/>
      <c r="C6" s="2"/>
      <c r="D6" s="2"/>
      <c r="E6" s="2"/>
      <c r="F6" s="2"/>
      <c r="G6" s="2"/>
      <c r="H6" s="2"/>
      <c r="I6" s="2"/>
      <c r="J6" s="2"/>
      <c r="K6" s="2"/>
    </row>
    <row r="7" spans="1:11" x14ac:dyDescent="0.2">
      <c r="A7" s="44" t="s">
        <v>83</v>
      </c>
      <c r="B7" s="2"/>
      <c r="D7" s="2"/>
      <c r="E7" s="111"/>
      <c r="F7" s="2"/>
      <c r="G7" s="2"/>
      <c r="H7" s="2"/>
      <c r="I7" s="60"/>
      <c r="J7" s="2"/>
      <c r="K7" s="2"/>
    </row>
    <row r="8" spans="1:11" x14ac:dyDescent="0.2">
      <c r="A8" s="44" t="s">
        <v>229</v>
      </c>
      <c r="B8" s="2"/>
      <c r="D8" s="2"/>
      <c r="E8" s="340"/>
      <c r="F8" s="2"/>
      <c r="G8" s="2"/>
      <c r="H8" s="2"/>
      <c r="I8" s="2"/>
      <c r="J8" s="2"/>
      <c r="K8" s="2"/>
    </row>
    <row r="9" spans="1:11" x14ac:dyDescent="0.2">
      <c r="A9" s="44" t="s">
        <v>71</v>
      </c>
      <c r="B9" s="2"/>
      <c r="D9" s="2"/>
      <c r="E9" s="125"/>
      <c r="F9" s="2"/>
      <c r="G9" s="2"/>
      <c r="H9" s="2"/>
      <c r="I9" s="2"/>
      <c r="J9" s="2"/>
      <c r="K9" s="2"/>
    </row>
    <row r="10" spans="1:11" x14ac:dyDescent="0.2">
      <c r="A10" s="44"/>
      <c r="B10" s="2"/>
      <c r="D10" s="2"/>
      <c r="E10" s="5"/>
      <c r="F10" s="2"/>
      <c r="G10" s="2"/>
      <c r="H10" s="2"/>
      <c r="I10" s="2"/>
      <c r="J10" s="2"/>
      <c r="K10" s="2"/>
    </row>
    <row r="11" spans="1:11" ht="20.100000000000001" customHeight="1" x14ac:dyDescent="0.25">
      <c r="A11" s="4" t="s">
        <v>344</v>
      </c>
      <c r="B11" s="278" t="s">
        <v>158</v>
      </c>
      <c r="C11" s="277"/>
      <c r="D11" s="67"/>
      <c r="E11" s="2"/>
      <c r="F11" s="2"/>
    </row>
    <row r="12" spans="1:11" x14ac:dyDescent="0.2">
      <c r="A12" s="178" t="s">
        <v>37</v>
      </c>
      <c r="B12" s="176"/>
      <c r="C12" s="177"/>
      <c r="D12" s="176"/>
      <c r="E12" s="176"/>
      <c r="F12" s="146"/>
    </row>
    <row r="13" spans="1:11" x14ac:dyDescent="0.2">
      <c r="A13" s="44"/>
      <c r="B13" s="2"/>
      <c r="C13" s="85" t="s">
        <v>235</v>
      </c>
      <c r="D13" s="310" t="s">
        <v>236</v>
      </c>
      <c r="E13" s="44" t="s">
        <v>237</v>
      </c>
      <c r="F13" s="2"/>
    </row>
    <row r="14" spans="1:11" x14ac:dyDescent="0.2">
      <c r="A14" s="67" t="s">
        <v>38</v>
      </c>
      <c r="B14" s="2"/>
      <c r="C14" s="112">
        <v>80</v>
      </c>
      <c r="D14" s="183">
        <v>10.1</v>
      </c>
      <c r="E14" s="339">
        <f>C14*D14</f>
        <v>808</v>
      </c>
      <c r="F14" s="2"/>
    </row>
    <row r="15" spans="1:11" x14ac:dyDescent="0.2">
      <c r="A15" s="21"/>
      <c r="B15" s="2"/>
      <c r="C15" s="316" t="s">
        <v>297</v>
      </c>
      <c r="D15" s="322" t="s">
        <v>240</v>
      </c>
      <c r="E15" s="336"/>
      <c r="F15" s="2"/>
    </row>
    <row r="16" spans="1:11" x14ac:dyDescent="0.2">
      <c r="A16" s="67" t="s">
        <v>159</v>
      </c>
      <c r="B16" s="2"/>
      <c r="C16" s="304">
        <v>1.4</v>
      </c>
      <c r="D16" s="183">
        <v>85</v>
      </c>
      <c r="E16" s="389">
        <f>C16*D16</f>
        <v>118.99999999999999</v>
      </c>
      <c r="F16" s="2"/>
    </row>
    <row r="17" spans="1:24" x14ac:dyDescent="0.2">
      <c r="A17" s="229" t="s">
        <v>39</v>
      </c>
      <c r="B17" s="230"/>
      <c r="C17" s="226"/>
      <c r="D17" s="230"/>
      <c r="E17" s="341">
        <f>E14+E16</f>
        <v>927</v>
      </c>
      <c r="F17" s="2"/>
    </row>
    <row r="18" spans="1:24" x14ac:dyDescent="0.2">
      <c r="A18" s="178" t="s">
        <v>40</v>
      </c>
      <c r="B18" s="179"/>
      <c r="C18" s="180"/>
      <c r="D18" s="179"/>
      <c r="E18" s="179"/>
      <c r="F18" s="181"/>
    </row>
    <row r="19" spans="1:24" ht="12" customHeight="1" x14ac:dyDescent="0.2">
      <c r="A19" s="25"/>
      <c r="B19" s="7"/>
      <c r="C19" s="5"/>
      <c r="D19" s="7"/>
      <c r="E19" s="7"/>
      <c r="F19" s="2"/>
    </row>
    <row r="20" spans="1:24" x14ac:dyDescent="0.2">
      <c r="A20" s="168" t="s">
        <v>4</v>
      </c>
      <c r="B20" s="144"/>
      <c r="C20" s="167"/>
      <c r="D20" s="167"/>
      <c r="E20" s="167"/>
      <c r="F20" s="146"/>
      <c r="M20" s="56"/>
      <c r="N20" s="56"/>
      <c r="O20" s="56"/>
      <c r="P20" s="56"/>
    </row>
    <row r="21" spans="1:24" ht="15" customHeight="1" x14ac:dyDescent="0.2">
      <c r="A21" s="152" t="s">
        <v>88</v>
      </c>
      <c r="B21" s="153"/>
      <c r="C21" s="154"/>
      <c r="D21" s="154"/>
      <c r="E21" s="154"/>
      <c r="F21" s="151"/>
      <c r="G21" s="42"/>
      <c r="H21" s="108"/>
      <c r="I21" s="42"/>
      <c r="J21" s="108"/>
      <c r="K21" s="42"/>
      <c r="M21" s="73"/>
      <c r="N21" s="56"/>
      <c r="O21" s="56"/>
      <c r="P21" s="56"/>
    </row>
    <row r="22" spans="1:24" x14ac:dyDescent="0.2">
      <c r="A22" s="53"/>
      <c r="B22" s="91" t="s">
        <v>238</v>
      </c>
      <c r="C22" s="91" t="s">
        <v>239</v>
      </c>
      <c r="D22" s="91" t="s">
        <v>240</v>
      </c>
      <c r="E22" s="91" t="s">
        <v>241</v>
      </c>
      <c r="F22" s="2"/>
      <c r="G22" s="109"/>
      <c r="H22" s="100"/>
      <c r="I22" s="42"/>
      <c r="J22" s="100"/>
      <c r="K22" s="108"/>
      <c r="M22" s="73"/>
      <c r="N22" s="56"/>
      <c r="O22" s="56"/>
      <c r="P22" s="56"/>
    </row>
    <row r="23" spans="1:24" x14ac:dyDescent="0.2">
      <c r="A23" s="61" t="s">
        <v>304</v>
      </c>
      <c r="B23" s="297"/>
      <c r="C23" s="124">
        <v>0</v>
      </c>
      <c r="D23" s="140">
        <v>980</v>
      </c>
      <c r="E23" s="342">
        <f>((D23/2000)*B23*C23)</f>
        <v>0</v>
      </c>
      <c r="F23" s="2"/>
      <c r="G23" s="89"/>
      <c r="H23" s="10"/>
      <c r="I23" s="116"/>
      <c r="J23" s="10"/>
      <c r="K23" s="42"/>
      <c r="M23" s="56"/>
      <c r="N23" s="56"/>
      <c r="O23" s="73"/>
      <c r="P23" s="73"/>
      <c r="Q23" s="73"/>
      <c r="R23" s="73"/>
      <c r="S23" s="56"/>
      <c r="T23" s="56"/>
      <c r="U23" s="56"/>
      <c r="V23" s="56"/>
      <c r="W23" s="56"/>
      <c r="X23" s="56"/>
    </row>
    <row r="24" spans="1:24" x14ac:dyDescent="0.2">
      <c r="A24" s="61"/>
      <c r="B24" s="63"/>
      <c r="C24" s="75"/>
      <c r="D24" s="17"/>
      <c r="E24" s="74"/>
      <c r="F24" s="2"/>
      <c r="G24" s="89"/>
      <c r="H24" s="10"/>
      <c r="I24" s="116"/>
      <c r="J24" s="10"/>
      <c r="K24" s="42"/>
      <c r="M24" s="56"/>
      <c r="N24" s="56"/>
      <c r="O24" s="73"/>
      <c r="P24" s="73"/>
      <c r="Q24" s="73"/>
      <c r="R24" s="73"/>
      <c r="S24" s="56"/>
      <c r="T24" s="56"/>
      <c r="U24" s="56"/>
      <c r="V24" s="56"/>
      <c r="W24" s="56"/>
      <c r="X24" s="56"/>
    </row>
    <row r="25" spans="1:24" x14ac:dyDescent="0.2">
      <c r="A25" s="53"/>
      <c r="C25" s="91" t="s">
        <v>242</v>
      </c>
      <c r="D25" s="91" t="s">
        <v>240</v>
      </c>
      <c r="E25" s="91" t="s">
        <v>241</v>
      </c>
      <c r="F25" s="2"/>
      <c r="G25" s="109"/>
      <c r="H25" s="100"/>
      <c r="I25" s="42"/>
      <c r="J25" s="100"/>
      <c r="K25" s="108"/>
      <c r="M25" s="73"/>
      <c r="N25" s="56"/>
      <c r="O25" s="56"/>
      <c r="P25" s="56"/>
    </row>
    <row r="26" spans="1:24" x14ac:dyDescent="0.2">
      <c r="A26" s="298" t="s">
        <v>33</v>
      </c>
      <c r="B26" s="7"/>
      <c r="C26" s="112">
        <v>0</v>
      </c>
      <c r="D26" s="140">
        <v>0</v>
      </c>
      <c r="E26" s="343">
        <f>C26*(D26/2000)</f>
        <v>0</v>
      </c>
      <c r="F26" s="2"/>
      <c r="G26" s="14"/>
      <c r="H26" s="3"/>
      <c r="I26" s="42"/>
      <c r="J26" s="90"/>
      <c r="K26" s="42"/>
    </row>
    <row r="27" spans="1:24" x14ac:dyDescent="0.2">
      <c r="A27" s="298" t="s">
        <v>66</v>
      </c>
      <c r="B27" s="7"/>
      <c r="C27" s="123"/>
      <c r="D27" s="140">
        <v>0</v>
      </c>
      <c r="E27" s="344">
        <f>C27*(D27/2000)</f>
        <v>0</v>
      </c>
      <c r="F27" s="2"/>
      <c r="G27" s="14"/>
      <c r="H27" s="3"/>
      <c r="I27" s="42"/>
      <c r="J27" s="90"/>
      <c r="K27" s="42"/>
    </row>
    <row r="28" spans="1:24" x14ac:dyDescent="0.2">
      <c r="A28" s="299" t="s">
        <v>66</v>
      </c>
      <c r="B28" s="7"/>
      <c r="C28" s="123"/>
      <c r="D28" s="281"/>
      <c r="E28" s="344">
        <f>C28*(D28/2000)</f>
        <v>0</v>
      </c>
      <c r="F28" s="2"/>
      <c r="G28" s="14"/>
      <c r="H28" s="3"/>
      <c r="I28" s="42"/>
      <c r="J28" s="90"/>
      <c r="K28" s="42"/>
    </row>
    <row r="29" spans="1:24" x14ac:dyDescent="0.2">
      <c r="A29" s="298"/>
      <c r="B29" s="11"/>
      <c r="C29" s="112"/>
      <c r="D29" s="140"/>
      <c r="E29" s="343">
        <f>C29*(D29/2000)</f>
        <v>0</v>
      </c>
      <c r="F29" s="2"/>
      <c r="G29" s="14"/>
      <c r="H29" s="3"/>
      <c r="I29" s="42"/>
      <c r="J29" s="90"/>
      <c r="K29" s="42"/>
    </row>
    <row r="30" spans="1:24" x14ac:dyDescent="0.2">
      <c r="A30" s="147"/>
      <c r="B30" s="148"/>
      <c r="C30" s="65"/>
      <c r="D30" s="169"/>
      <c r="E30" s="145"/>
      <c r="F30" s="2"/>
      <c r="G30" s="14"/>
      <c r="H30" s="3"/>
      <c r="I30" s="42"/>
      <c r="J30" s="90"/>
      <c r="K30" s="42"/>
    </row>
    <row r="31" spans="1:24" ht="14.25" customHeight="1" x14ac:dyDescent="0.2">
      <c r="A31" s="149" t="s">
        <v>135</v>
      </c>
      <c r="B31" s="150"/>
      <c r="C31" s="231"/>
      <c r="D31" s="232"/>
      <c r="E31" s="232"/>
      <c r="F31" s="151"/>
      <c r="G31" s="2"/>
      <c r="H31" s="2"/>
      <c r="I31" s="2"/>
      <c r="J31" s="2"/>
      <c r="K31" s="2"/>
      <c r="L31" s="56"/>
      <c r="M31" s="56"/>
      <c r="N31" s="56"/>
      <c r="O31" s="56"/>
      <c r="P31" s="56"/>
      <c r="Q31" s="56"/>
      <c r="R31" s="56"/>
      <c r="S31" s="56"/>
      <c r="T31" s="56"/>
    </row>
    <row r="32" spans="1:24" ht="14.25" customHeight="1" x14ac:dyDescent="0.2">
      <c r="A32" s="76" t="s">
        <v>306</v>
      </c>
      <c r="B32" s="44"/>
      <c r="C32" s="311" t="s">
        <v>243</v>
      </c>
      <c r="D32" s="310" t="s">
        <v>244</v>
      </c>
      <c r="E32" s="310" t="s">
        <v>241</v>
      </c>
      <c r="F32" s="2"/>
      <c r="G32" s="2"/>
      <c r="H32" s="2"/>
      <c r="I32" s="2"/>
      <c r="J32" s="2"/>
      <c r="K32" s="2"/>
      <c r="L32" s="56"/>
      <c r="M32" s="56"/>
      <c r="N32" s="56"/>
      <c r="O32" s="56"/>
      <c r="P32" s="56"/>
      <c r="Q32" s="56"/>
      <c r="R32" s="56"/>
      <c r="S32" s="56"/>
      <c r="T32" s="56"/>
    </row>
    <row r="33" spans="1:20" ht="14.25" customHeight="1" x14ac:dyDescent="0.2">
      <c r="A33" s="291" t="s">
        <v>14</v>
      </c>
      <c r="B33" s="245"/>
      <c r="C33" s="112">
        <v>80</v>
      </c>
      <c r="D33" s="140">
        <v>1.18</v>
      </c>
      <c r="E33" s="343">
        <f>C33*D33</f>
        <v>94.399999999999991</v>
      </c>
      <c r="F33" s="2"/>
      <c r="G33" s="2"/>
      <c r="H33" s="2"/>
      <c r="I33" s="2"/>
      <c r="J33" s="2"/>
      <c r="K33" s="2"/>
      <c r="L33" s="56"/>
      <c r="M33" s="56"/>
      <c r="N33" s="56"/>
      <c r="O33" s="56"/>
      <c r="P33" s="56"/>
      <c r="Q33" s="56"/>
      <c r="R33" s="56"/>
      <c r="S33" s="56"/>
      <c r="T33" s="56"/>
    </row>
    <row r="34" spans="1:20" ht="14.25" customHeight="1" x14ac:dyDescent="0.2">
      <c r="A34" s="312" t="s">
        <v>15</v>
      </c>
      <c r="B34" s="11"/>
      <c r="C34" s="112"/>
      <c r="D34" s="140">
        <v>0</v>
      </c>
      <c r="E34" s="343">
        <f t="shared" ref="E34:E36" si="0">C34*D34</f>
        <v>0</v>
      </c>
      <c r="F34" s="2"/>
      <c r="G34" s="2"/>
      <c r="H34" s="2"/>
      <c r="I34" s="2"/>
      <c r="J34" s="2"/>
      <c r="K34" s="2"/>
      <c r="L34" s="56"/>
      <c r="M34" s="56"/>
      <c r="N34" s="56"/>
      <c r="O34" s="56"/>
      <c r="P34" s="56"/>
      <c r="Q34" s="56"/>
      <c r="R34" s="56"/>
      <c r="S34" s="56"/>
      <c r="T34" s="56"/>
    </row>
    <row r="35" spans="1:20" ht="13.5" customHeight="1" x14ac:dyDescent="0.2">
      <c r="A35" s="312" t="s">
        <v>16</v>
      </c>
      <c r="B35" s="11"/>
      <c r="C35" s="112"/>
      <c r="D35" s="140">
        <v>0</v>
      </c>
      <c r="E35" s="343">
        <f t="shared" si="0"/>
        <v>0</v>
      </c>
      <c r="F35" s="2"/>
      <c r="G35" s="117"/>
      <c r="H35" s="118"/>
      <c r="I35" s="118"/>
      <c r="J35" s="99"/>
      <c r="K35" s="108"/>
      <c r="L35" s="108"/>
    </row>
    <row r="36" spans="1:20" ht="14.25" customHeight="1" x14ac:dyDescent="0.2">
      <c r="A36" s="313" t="s">
        <v>17</v>
      </c>
      <c r="B36" s="11"/>
      <c r="C36" s="123"/>
      <c r="D36" s="281">
        <v>0</v>
      </c>
      <c r="E36" s="344">
        <f t="shared" si="0"/>
        <v>0</v>
      </c>
      <c r="F36" s="2"/>
      <c r="G36" s="27"/>
      <c r="H36" s="10"/>
      <c r="I36" s="10"/>
      <c r="J36" s="10"/>
      <c r="K36" s="10"/>
      <c r="M36" s="56"/>
    </row>
    <row r="37" spans="1:20" ht="14.25" customHeight="1" x14ac:dyDescent="0.2">
      <c r="A37" s="289" t="s">
        <v>86</v>
      </c>
      <c r="B37" s="11"/>
      <c r="C37" s="65"/>
      <c r="D37" s="145"/>
      <c r="E37" s="300">
        <v>0</v>
      </c>
      <c r="F37" s="2"/>
      <c r="G37" s="27"/>
      <c r="H37" s="10"/>
      <c r="I37" s="10"/>
      <c r="J37" s="10"/>
      <c r="K37" s="10"/>
      <c r="M37" s="56"/>
    </row>
    <row r="38" spans="1:20" ht="14.25" customHeight="1" x14ac:dyDescent="0.2">
      <c r="A38" s="130" t="s">
        <v>136</v>
      </c>
      <c r="B38" s="129"/>
      <c r="C38" s="65"/>
      <c r="D38" s="145"/>
      <c r="E38" s="140">
        <v>0</v>
      </c>
      <c r="F38" s="2"/>
      <c r="G38" s="27"/>
      <c r="H38" s="10"/>
      <c r="I38" s="10"/>
      <c r="J38" s="10"/>
      <c r="K38" s="10"/>
      <c r="M38" s="56"/>
    </row>
    <row r="39" spans="1:20" ht="14.25" x14ac:dyDescent="0.25">
      <c r="A39" s="51"/>
      <c r="B39" s="11"/>
      <c r="C39" s="12" t="s">
        <v>194</v>
      </c>
      <c r="D39" s="318" t="s">
        <v>266</v>
      </c>
      <c r="E39" s="74"/>
      <c r="F39" s="2"/>
      <c r="G39" s="109"/>
      <c r="H39" s="13"/>
      <c r="I39" s="10"/>
      <c r="J39" s="13"/>
      <c r="K39" s="13"/>
      <c r="L39" s="42"/>
      <c r="M39" s="56"/>
    </row>
    <row r="40" spans="1:20" x14ac:dyDescent="0.2">
      <c r="A40" s="314" t="s">
        <v>193</v>
      </c>
      <c r="C40" s="112">
        <v>0</v>
      </c>
      <c r="D40" s="300"/>
      <c r="E40" s="345">
        <f t="shared" ref="E40" si="1">C40*D40</f>
        <v>0</v>
      </c>
      <c r="F40" s="2"/>
      <c r="G40" s="89"/>
      <c r="H40" s="10"/>
      <c r="I40" s="13"/>
      <c r="J40" s="13"/>
      <c r="K40" s="13"/>
      <c r="L40" s="42"/>
    </row>
    <row r="41" spans="1:20" ht="14.25" customHeight="1" x14ac:dyDescent="0.25">
      <c r="A41" s="61"/>
      <c r="B41" s="11"/>
      <c r="C41" s="310" t="s">
        <v>195</v>
      </c>
      <c r="D41" s="318" t="s">
        <v>265</v>
      </c>
      <c r="E41" s="74"/>
      <c r="F41" s="2"/>
      <c r="G41" s="14"/>
      <c r="H41" s="10"/>
      <c r="I41" s="13"/>
      <c r="J41" s="13"/>
      <c r="K41" s="100"/>
      <c r="L41" s="42"/>
      <c r="M41" s="56"/>
      <c r="N41" s="56"/>
      <c r="O41" s="56"/>
      <c r="P41" s="56"/>
      <c r="Q41" s="56"/>
    </row>
    <row r="42" spans="1:20" ht="14.25" customHeight="1" x14ac:dyDescent="0.2">
      <c r="A42" s="315" t="s">
        <v>13</v>
      </c>
      <c r="C42" s="112">
        <v>100</v>
      </c>
      <c r="D42" s="140">
        <v>0.71</v>
      </c>
      <c r="E42" s="343">
        <f>C42*D42</f>
        <v>71</v>
      </c>
      <c r="F42" s="2"/>
      <c r="G42" s="117"/>
      <c r="H42" s="118"/>
      <c r="I42" s="119"/>
      <c r="J42" s="119"/>
      <c r="K42" s="98"/>
      <c r="L42" s="99"/>
    </row>
    <row r="43" spans="1:20" ht="14.25" customHeight="1" x14ac:dyDescent="0.2">
      <c r="A43" s="6"/>
      <c r="B43" s="2"/>
      <c r="C43" s="19"/>
      <c r="D43" s="2"/>
      <c r="E43" s="2"/>
      <c r="F43" s="2"/>
      <c r="G43" s="14"/>
      <c r="H43" s="3"/>
      <c r="I43" s="3"/>
      <c r="J43" s="3"/>
      <c r="K43" s="3"/>
      <c r="L43" s="3"/>
    </row>
    <row r="44" spans="1:20" ht="14.25" customHeight="1" x14ac:dyDescent="0.2">
      <c r="A44" s="289" t="s">
        <v>133</v>
      </c>
      <c r="B44" s="11"/>
      <c r="C44" s="16"/>
      <c r="D44" s="17"/>
      <c r="E44" s="140">
        <v>0</v>
      </c>
      <c r="F44" s="2"/>
      <c r="G44" s="27"/>
      <c r="H44" s="10"/>
      <c r="I44" s="10"/>
      <c r="J44" s="10"/>
      <c r="K44" s="10"/>
      <c r="L44" s="10"/>
    </row>
    <row r="45" spans="1:20" ht="14.25" customHeight="1" x14ac:dyDescent="0.2">
      <c r="A45" s="238"/>
      <c r="B45" s="11"/>
      <c r="C45" s="16"/>
      <c r="D45" s="17"/>
      <c r="E45" s="156"/>
      <c r="F45" s="2"/>
      <c r="G45" s="27"/>
      <c r="H45" s="10"/>
      <c r="I45" s="10"/>
      <c r="J45" s="10"/>
      <c r="K45" s="10"/>
      <c r="L45" s="10"/>
    </row>
    <row r="46" spans="1:20" ht="14.25" customHeight="1" x14ac:dyDescent="0.2">
      <c r="A46" s="289" t="s">
        <v>7</v>
      </c>
      <c r="B46" s="11"/>
      <c r="C46" s="16"/>
      <c r="D46" s="17"/>
      <c r="E46" s="140">
        <v>0</v>
      </c>
      <c r="F46" s="2"/>
      <c r="G46" s="27"/>
      <c r="H46" s="10"/>
      <c r="I46" s="10"/>
      <c r="J46" s="10"/>
      <c r="K46" s="10"/>
      <c r="L46" s="10"/>
    </row>
    <row r="47" spans="1:20" ht="14.25" customHeight="1" x14ac:dyDescent="0.2">
      <c r="A47" s="289"/>
      <c r="B47" s="11"/>
      <c r="C47" s="16"/>
      <c r="D47" s="17"/>
      <c r="E47" s="140">
        <v>0</v>
      </c>
      <c r="F47" s="2"/>
      <c r="G47" s="27"/>
      <c r="H47" s="10"/>
      <c r="I47" s="10"/>
      <c r="J47" s="10"/>
      <c r="K47" s="10"/>
      <c r="L47" s="10"/>
    </row>
    <row r="48" spans="1:20" ht="14.25" customHeight="1" x14ac:dyDescent="0.2">
      <c r="A48" s="289"/>
      <c r="B48" s="11"/>
      <c r="C48" s="16"/>
      <c r="D48" s="17"/>
      <c r="E48" s="140">
        <v>0</v>
      </c>
      <c r="F48" s="2"/>
      <c r="G48" s="27"/>
      <c r="H48" s="10"/>
      <c r="I48" s="10"/>
      <c r="J48" s="10"/>
      <c r="K48" s="10"/>
      <c r="L48" s="10"/>
    </row>
    <row r="49" spans="1:23" ht="14.25" customHeight="1" x14ac:dyDescent="0.2">
      <c r="A49" s="52" t="s">
        <v>248</v>
      </c>
      <c r="B49" s="155"/>
      <c r="C49" s="316" t="s">
        <v>72</v>
      </c>
      <c r="D49" s="85" t="s">
        <v>256</v>
      </c>
      <c r="E49" s="17"/>
      <c r="F49" s="2"/>
      <c r="G49" s="27"/>
      <c r="H49" s="10"/>
      <c r="I49" s="10"/>
      <c r="J49" s="10"/>
      <c r="K49" s="10"/>
      <c r="L49" s="10"/>
    </row>
    <row r="50" spans="1:23" ht="14.25" customHeight="1" x14ac:dyDescent="0.2">
      <c r="A50" s="289" t="s">
        <v>89</v>
      </c>
      <c r="B50" s="20"/>
      <c r="C50" s="112">
        <v>1</v>
      </c>
      <c r="D50" s="140">
        <v>8</v>
      </c>
      <c r="E50" s="343">
        <f>D50*C50</f>
        <v>8</v>
      </c>
      <c r="F50" s="2"/>
      <c r="G50" s="27"/>
      <c r="H50" s="10"/>
      <c r="I50" s="10"/>
      <c r="J50" s="10"/>
      <c r="K50" s="10"/>
      <c r="L50" s="10"/>
    </row>
    <row r="51" spans="1:23" ht="14.25" customHeight="1" x14ac:dyDescent="0.2">
      <c r="A51" s="289"/>
      <c r="B51" s="20"/>
      <c r="C51" s="112"/>
      <c r="D51" s="140"/>
      <c r="E51" s="343">
        <f t="shared" ref="E51:E52" si="2">D51*C51</f>
        <v>0</v>
      </c>
      <c r="F51" s="2"/>
      <c r="G51" s="27"/>
      <c r="H51" s="10"/>
      <c r="I51" s="10"/>
      <c r="J51" s="10"/>
      <c r="K51" s="10"/>
      <c r="L51" s="10"/>
    </row>
    <row r="52" spans="1:23" ht="14.25" customHeight="1" x14ac:dyDescent="0.2">
      <c r="A52" s="289" t="s">
        <v>209</v>
      </c>
      <c r="B52" s="20"/>
      <c r="C52" s="112"/>
      <c r="D52" s="140"/>
      <c r="E52" s="343">
        <f t="shared" si="2"/>
        <v>0</v>
      </c>
      <c r="F52" s="2"/>
      <c r="G52" s="27"/>
      <c r="H52" s="10"/>
      <c r="I52" s="10"/>
      <c r="J52" s="10"/>
      <c r="K52" s="10"/>
      <c r="L52" s="10"/>
    </row>
    <row r="53" spans="1:23" ht="14.25" customHeight="1" x14ac:dyDescent="0.2">
      <c r="A53" s="52"/>
      <c r="B53" s="11"/>
      <c r="C53" s="16"/>
      <c r="D53" s="17"/>
      <c r="E53" s="17"/>
      <c r="F53" s="2"/>
      <c r="G53" s="27"/>
      <c r="H53" s="10"/>
      <c r="I53" s="10"/>
      <c r="J53" s="10"/>
      <c r="K53" s="10"/>
      <c r="L53" s="10"/>
    </row>
    <row r="54" spans="1:23" x14ac:dyDescent="0.2">
      <c r="A54" s="6"/>
      <c r="B54" s="12" t="s">
        <v>263</v>
      </c>
      <c r="C54" s="12" t="s">
        <v>264</v>
      </c>
      <c r="D54" s="85" t="s">
        <v>240</v>
      </c>
      <c r="E54" s="317" t="s">
        <v>241</v>
      </c>
      <c r="F54" s="2"/>
    </row>
    <row r="55" spans="1:23" x14ac:dyDescent="0.2">
      <c r="A55" s="27" t="s">
        <v>80</v>
      </c>
      <c r="B55" s="301">
        <v>3</v>
      </c>
      <c r="C55" s="113">
        <v>3</v>
      </c>
      <c r="D55" s="183">
        <v>29</v>
      </c>
      <c r="E55" s="343">
        <f>(D55*C55)/B55</f>
        <v>29</v>
      </c>
      <c r="F55" s="2"/>
      <c r="H55" s="126"/>
      <c r="I55" s="56"/>
      <c r="J55" s="56"/>
      <c r="K55" s="56"/>
      <c r="L55" s="56"/>
      <c r="M55" s="56"/>
      <c r="N55" s="56"/>
      <c r="O55" s="56"/>
      <c r="P55" s="56"/>
      <c r="Q55" s="56"/>
      <c r="R55" s="56"/>
      <c r="S55" s="56"/>
    </row>
    <row r="56" spans="1:23" x14ac:dyDescent="0.2">
      <c r="A56" s="31"/>
      <c r="B56" s="185"/>
      <c r="C56" s="184"/>
      <c r="D56" s="319" t="s">
        <v>241</v>
      </c>
      <c r="E56" s="156"/>
      <c r="F56" s="2"/>
      <c r="H56" s="126"/>
      <c r="I56" s="56"/>
      <c r="J56" s="56"/>
      <c r="K56" s="56"/>
      <c r="L56" s="56"/>
      <c r="M56" s="56"/>
      <c r="N56" s="56"/>
      <c r="O56" s="56"/>
      <c r="P56" s="56"/>
      <c r="Q56" s="56"/>
      <c r="R56" s="56"/>
      <c r="S56" s="56"/>
    </row>
    <row r="57" spans="1:23" x14ac:dyDescent="0.2">
      <c r="A57" s="246" t="s">
        <v>98</v>
      </c>
      <c r="B57" s="20"/>
      <c r="C57" s="182"/>
      <c r="D57" s="183">
        <v>34.5</v>
      </c>
      <c r="E57" s="343">
        <f>D57/B55</f>
        <v>11.5</v>
      </c>
      <c r="F57" s="2"/>
      <c r="H57" s="126"/>
      <c r="I57" s="56"/>
      <c r="J57" s="56"/>
      <c r="K57" s="56"/>
      <c r="L57" s="56"/>
      <c r="M57" s="56"/>
      <c r="N57" s="56"/>
      <c r="O57" s="56"/>
      <c r="P57" s="56"/>
      <c r="Q57" s="56"/>
      <c r="R57" s="56"/>
      <c r="S57" s="56"/>
    </row>
    <row r="58" spans="1:23" x14ac:dyDescent="0.2">
      <c r="A58" s="31"/>
      <c r="B58" s="133"/>
      <c r="C58" s="135"/>
      <c r="D58" s="3"/>
      <c r="E58" s="10"/>
      <c r="F58" s="2"/>
      <c r="H58" s="126"/>
      <c r="I58" s="56"/>
      <c r="J58" s="56"/>
      <c r="K58" s="56"/>
      <c r="L58" s="56"/>
      <c r="M58" s="56"/>
      <c r="N58" s="56"/>
      <c r="O58" s="56"/>
      <c r="P58" s="56"/>
      <c r="Q58" s="56"/>
      <c r="R58" s="56"/>
      <c r="S58" s="56"/>
    </row>
    <row r="59" spans="1:23" x14ac:dyDescent="0.2">
      <c r="A59" s="229" t="s">
        <v>103</v>
      </c>
      <c r="B59" s="230"/>
      <c r="C59" s="230"/>
      <c r="D59" s="230"/>
      <c r="E59" s="341">
        <f>SUM(E23:E58)</f>
        <v>213.89999999999998</v>
      </c>
      <c r="F59" s="2"/>
      <c r="G59" s="52"/>
      <c r="H59" s="52"/>
      <c r="I59" s="56"/>
      <c r="J59" s="56"/>
      <c r="K59" s="56"/>
      <c r="L59" s="56"/>
      <c r="M59" s="56"/>
      <c r="N59" s="56"/>
      <c r="O59" s="56"/>
      <c r="P59" s="56"/>
      <c r="Q59" s="56"/>
      <c r="R59" s="56"/>
      <c r="S59" s="56"/>
    </row>
    <row r="60" spans="1:23" x14ac:dyDescent="0.2">
      <c r="A60" s="166" t="s">
        <v>94</v>
      </c>
      <c r="B60" s="146"/>
      <c r="C60" s="146"/>
      <c r="D60" s="146"/>
      <c r="E60" s="146"/>
      <c r="F60" s="146"/>
      <c r="G60" s="52"/>
      <c r="H60" s="52"/>
      <c r="I60" s="56"/>
      <c r="J60" s="56"/>
      <c r="K60" s="56"/>
      <c r="L60" s="56"/>
      <c r="M60" s="56"/>
      <c r="N60" s="56"/>
      <c r="O60" s="56"/>
      <c r="P60" s="56"/>
      <c r="Q60" s="56"/>
      <c r="R60" s="56"/>
      <c r="S60" s="56"/>
    </row>
    <row r="61" spans="1:23" x14ac:dyDescent="0.2">
      <c r="A61" s="26"/>
      <c r="B61" s="7"/>
      <c r="C61" s="317" t="s">
        <v>298</v>
      </c>
      <c r="D61" s="317" t="s">
        <v>236</v>
      </c>
      <c r="E61" s="317" t="s">
        <v>241</v>
      </c>
      <c r="F61" s="2"/>
      <c r="G61" s="52"/>
      <c r="H61" s="52"/>
      <c r="I61" s="56"/>
      <c r="J61" s="56"/>
      <c r="K61" s="56"/>
      <c r="L61" s="56"/>
      <c r="M61" s="56"/>
      <c r="N61" s="56"/>
      <c r="O61" s="56"/>
      <c r="P61" s="56"/>
      <c r="Q61" s="56"/>
      <c r="R61" s="56"/>
      <c r="S61" s="56"/>
    </row>
    <row r="62" spans="1:23" x14ac:dyDescent="0.2">
      <c r="A62" s="76" t="s">
        <v>160</v>
      </c>
      <c r="B62" s="63"/>
      <c r="C62" s="240">
        <v>2.5</v>
      </c>
      <c r="D62" s="307">
        <v>26</v>
      </c>
      <c r="E62" s="343">
        <f>C62*D62</f>
        <v>65</v>
      </c>
      <c r="F62" s="2"/>
      <c r="G62" s="53"/>
      <c r="H62" s="127"/>
      <c r="I62" s="58"/>
      <c r="J62" s="58"/>
      <c r="K62" s="58"/>
      <c r="L62" s="56"/>
      <c r="M62" s="56"/>
      <c r="N62" s="56"/>
      <c r="O62" s="56"/>
      <c r="P62" s="56"/>
      <c r="Q62" s="56"/>
      <c r="R62" s="56"/>
      <c r="S62" s="56"/>
    </row>
    <row r="63" spans="1:23" x14ac:dyDescent="0.2">
      <c r="A63" s="27"/>
      <c r="B63" s="9"/>
      <c r="C63" s="310" t="s">
        <v>261</v>
      </c>
      <c r="D63" s="317" t="s">
        <v>262</v>
      </c>
      <c r="E63" s="317" t="s">
        <v>241</v>
      </c>
      <c r="F63" s="2"/>
      <c r="G63" s="56"/>
      <c r="H63" s="56"/>
      <c r="I63" s="58"/>
      <c r="J63" s="58"/>
      <c r="K63" s="58"/>
      <c r="L63" s="56"/>
      <c r="M63" s="56"/>
      <c r="N63" s="56"/>
      <c r="O63" s="56"/>
      <c r="P63" s="56"/>
      <c r="Q63" s="56"/>
      <c r="R63" s="56"/>
      <c r="S63" s="56"/>
      <c r="T63" s="56"/>
      <c r="U63" s="56"/>
      <c r="V63" s="56"/>
      <c r="W63" s="56"/>
    </row>
    <row r="64" spans="1:23" x14ac:dyDescent="0.2">
      <c r="A64" s="76" t="s">
        <v>81</v>
      </c>
      <c r="B64" s="77"/>
      <c r="C64" s="240"/>
      <c r="D64" s="254"/>
      <c r="E64" s="565">
        <f>D64*C64</f>
        <v>0</v>
      </c>
      <c r="F64" s="2"/>
      <c r="G64" s="56"/>
      <c r="H64" s="56"/>
      <c r="I64" s="58"/>
      <c r="J64" s="58"/>
      <c r="K64" s="58"/>
      <c r="L64" s="56"/>
      <c r="M64" s="56"/>
      <c r="N64" s="56"/>
      <c r="O64" s="56"/>
      <c r="P64" s="56"/>
      <c r="Q64" s="56"/>
      <c r="R64" s="56"/>
      <c r="S64" s="56"/>
      <c r="T64" s="56"/>
      <c r="U64" s="56"/>
      <c r="V64" s="56"/>
      <c r="W64" s="56"/>
    </row>
    <row r="65" spans="1:23" x14ac:dyDescent="0.2">
      <c r="A65" s="76"/>
      <c r="B65" s="77"/>
      <c r="C65" s="571" t="s">
        <v>299</v>
      </c>
      <c r="D65" s="332" t="s">
        <v>236</v>
      </c>
      <c r="E65" s="322" t="s">
        <v>241</v>
      </c>
      <c r="F65" s="2"/>
      <c r="G65" s="56"/>
      <c r="H65" s="56"/>
      <c r="I65" s="58"/>
      <c r="J65" s="58"/>
      <c r="K65" s="58"/>
      <c r="L65" s="56"/>
      <c r="M65" s="56"/>
      <c r="N65" s="56"/>
      <c r="O65" s="56"/>
      <c r="P65" s="56"/>
      <c r="Q65" s="56"/>
      <c r="R65" s="56"/>
      <c r="S65" s="56"/>
      <c r="T65" s="56"/>
      <c r="U65" s="56"/>
      <c r="V65" s="56"/>
      <c r="W65" s="56"/>
    </row>
    <row r="66" spans="1:23" x14ac:dyDescent="0.2">
      <c r="A66" s="76" t="s">
        <v>81</v>
      </c>
      <c r="B66" s="77"/>
      <c r="C66" s="240"/>
      <c r="D66" s="254"/>
      <c r="E66" s="565">
        <f>D66*C66</f>
        <v>0</v>
      </c>
      <c r="F66" s="2"/>
      <c r="G66" s="56"/>
      <c r="H66" s="56"/>
      <c r="I66" s="58"/>
      <c r="J66" s="58"/>
      <c r="K66" s="58"/>
      <c r="L66" s="56"/>
      <c r="M66" s="56"/>
      <c r="N66" s="56"/>
      <c r="O66" s="56"/>
      <c r="P66" s="56"/>
      <c r="Q66" s="56"/>
      <c r="R66" s="56"/>
      <c r="S66" s="56"/>
      <c r="T66" s="56"/>
      <c r="U66" s="56"/>
      <c r="V66" s="56"/>
      <c r="W66" s="56"/>
    </row>
    <row r="67" spans="1:23" x14ac:dyDescent="0.2">
      <c r="A67" s="215" t="s">
        <v>197</v>
      </c>
      <c r="B67" s="222"/>
      <c r="C67" s="227"/>
      <c r="D67" s="228"/>
      <c r="E67" s="347">
        <f>E62+E64+E66</f>
        <v>65</v>
      </c>
      <c r="F67" s="2"/>
      <c r="G67" s="56"/>
      <c r="H67" s="56"/>
      <c r="I67" s="58"/>
      <c r="J67" s="58"/>
      <c r="K67" s="58"/>
      <c r="L67" s="56"/>
      <c r="M67" s="56"/>
      <c r="N67" s="56"/>
      <c r="O67" s="56"/>
      <c r="P67" s="56"/>
      <c r="Q67" s="56"/>
      <c r="R67" s="56"/>
      <c r="S67" s="56"/>
      <c r="T67" s="56"/>
      <c r="U67" s="56"/>
      <c r="V67" s="56"/>
      <c r="W67" s="56"/>
    </row>
    <row r="68" spans="1:23" x14ac:dyDescent="0.2">
      <c r="A68" s="164" t="s">
        <v>92</v>
      </c>
      <c r="B68" s="160"/>
      <c r="C68" s="161"/>
      <c r="D68" s="162"/>
      <c r="E68" s="214"/>
      <c r="F68" s="146"/>
      <c r="G68" s="58"/>
      <c r="H68" s="58"/>
      <c r="I68" s="58"/>
      <c r="J68" s="58"/>
      <c r="K68" s="58"/>
      <c r="L68" s="56"/>
      <c r="M68" s="56"/>
      <c r="N68" s="56"/>
      <c r="O68" s="56"/>
      <c r="P68" s="56"/>
      <c r="Q68" s="56"/>
      <c r="R68" s="56"/>
      <c r="S68" s="56"/>
    </row>
    <row r="69" spans="1:23" x14ac:dyDescent="0.2">
      <c r="A69" s="165" t="s">
        <v>2</v>
      </c>
      <c r="B69" s="7"/>
      <c r="C69" s="233"/>
      <c r="D69" s="131"/>
      <c r="E69" s="317" t="s">
        <v>241</v>
      </c>
      <c r="F69" s="2"/>
      <c r="G69" s="50"/>
      <c r="H69" s="128"/>
      <c r="I69" s="58"/>
      <c r="J69" s="58"/>
      <c r="K69" s="58"/>
      <c r="L69" s="56"/>
      <c r="M69" s="56"/>
      <c r="N69" s="56"/>
      <c r="O69" s="56"/>
      <c r="P69" s="56"/>
      <c r="Q69" s="56"/>
      <c r="R69" s="56"/>
      <c r="S69" s="56"/>
    </row>
    <row r="70" spans="1:23" x14ac:dyDescent="0.2">
      <c r="A70" s="246" t="s">
        <v>126</v>
      </c>
      <c r="B70" s="7"/>
      <c r="C70" s="233"/>
      <c r="D70" s="131"/>
      <c r="E70" s="303"/>
      <c r="F70" s="2"/>
      <c r="G70" s="50"/>
      <c r="H70" s="128"/>
      <c r="I70" s="58"/>
      <c r="J70" s="58"/>
      <c r="K70" s="58"/>
      <c r="L70" s="56"/>
      <c r="M70" s="56"/>
      <c r="N70" s="56"/>
      <c r="O70" s="56"/>
      <c r="P70" s="56"/>
      <c r="Q70" s="56"/>
      <c r="R70" s="56"/>
      <c r="S70" s="56"/>
    </row>
    <row r="71" spans="1:23" x14ac:dyDescent="0.2">
      <c r="A71" s="251" t="s">
        <v>99</v>
      </c>
      <c r="B71" s="7"/>
      <c r="C71" s="233"/>
      <c r="D71" s="131"/>
      <c r="E71" s="140"/>
      <c r="F71" s="2"/>
      <c r="G71" s="50"/>
      <c r="H71" s="128"/>
      <c r="I71" s="58"/>
      <c r="J71" s="58"/>
      <c r="K71" s="58"/>
      <c r="L71" s="56"/>
      <c r="M71" s="56"/>
      <c r="N71" s="56"/>
      <c r="O71" s="56"/>
      <c r="P71" s="56"/>
      <c r="Q71" s="56"/>
      <c r="R71" s="56"/>
      <c r="S71" s="56"/>
    </row>
    <row r="72" spans="1:23" x14ac:dyDescent="0.2">
      <c r="A72" s="246" t="s">
        <v>127</v>
      </c>
      <c r="B72" s="7"/>
      <c r="C72" s="16"/>
      <c r="D72" s="234"/>
      <c r="E72" s="140"/>
      <c r="F72" s="2"/>
      <c r="G72" s="50"/>
      <c r="H72" s="128"/>
      <c r="I72" s="58"/>
      <c r="J72" s="58"/>
      <c r="K72" s="58"/>
      <c r="L72" s="56"/>
      <c r="M72" s="56"/>
      <c r="N72" s="56"/>
      <c r="O72" s="56"/>
      <c r="P72" s="56"/>
      <c r="Q72" s="56"/>
      <c r="R72" s="56"/>
      <c r="S72" s="56"/>
    </row>
    <row r="73" spans="1:23" x14ac:dyDescent="0.2">
      <c r="A73" s="251" t="s">
        <v>99</v>
      </c>
      <c r="B73" s="7"/>
      <c r="C73" s="16"/>
      <c r="D73" s="234"/>
      <c r="E73" s="140"/>
      <c r="F73" s="2"/>
      <c r="G73" s="50"/>
      <c r="H73" s="128"/>
      <c r="I73" s="58"/>
      <c r="J73" s="58"/>
      <c r="K73" s="58"/>
      <c r="L73" s="56"/>
      <c r="M73" s="56"/>
      <c r="N73" s="56"/>
      <c r="O73" s="56"/>
      <c r="P73" s="56"/>
      <c r="Q73" s="56"/>
      <c r="R73" s="56"/>
      <c r="S73" s="56"/>
    </row>
    <row r="74" spans="1:23" x14ac:dyDescent="0.2">
      <c r="A74" s="246" t="s">
        <v>128</v>
      </c>
      <c r="B74" s="7"/>
      <c r="C74" s="16"/>
      <c r="D74" s="234"/>
      <c r="E74" s="140">
        <v>20</v>
      </c>
      <c r="F74" s="2"/>
      <c r="G74" s="50"/>
      <c r="H74" s="128"/>
      <c r="I74" s="58"/>
      <c r="J74" s="58"/>
      <c r="K74" s="58"/>
      <c r="L74" s="56"/>
      <c r="M74" s="56"/>
      <c r="N74" s="56"/>
      <c r="O74" s="56"/>
      <c r="P74" s="56"/>
      <c r="Q74" s="56"/>
      <c r="R74" s="56"/>
      <c r="S74" s="56"/>
    </row>
    <row r="75" spans="1:23" x14ac:dyDescent="0.2">
      <c r="A75" s="251" t="s">
        <v>99</v>
      </c>
      <c r="B75" s="7"/>
      <c r="C75" s="16"/>
      <c r="D75" s="234"/>
      <c r="E75" s="140">
        <v>8</v>
      </c>
      <c r="F75" s="2"/>
      <c r="G75" s="50"/>
      <c r="H75" s="128"/>
      <c r="I75" s="58"/>
      <c r="J75" s="58"/>
      <c r="K75" s="58"/>
      <c r="L75" s="56"/>
      <c r="M75" s="56"/>
      <c r="N75" s="56"/>
      <c r="O75" s="56"/>
      <c r="P75" s="56"/>
      <c r="Q75" s="56"/>
      <c r="R75" s="56"/>
      <c r="S75" s="56"/>
    </row>
    <row r="76" spans="1:23" x14ac:dyDescent="0.2">
      <c r="A76" s="212" t="s">
        <v>129</v>
      </c>
      <c r="B76" s="5"/>
      <c r="C76" s="65"/>
      <c r="D76" s="235"/>
      <c r="E76" s="140"/>
      <c r="F76" s="2"/>
      <c r="G76" s="49"/>
      <c r="H76" s="49"/>
      <c r="I76" s="58"/>
      <c r="J76" s="58"/>
      <c r="K76" s="58"/>
      <c r="L76" s="56"/>
      <c r="M76" s="56"/>
      <c r="N76" s="56"/>
      <c r="O76" s="56"/>
      <c r="P76" s="56"/>
      <c r="Q76" s="56"/>
      <c r="R76" s="56"/>
      <c r="S76" s="56"/>
    </row>
    <row r="77" spans="1:23" x14ac:dyDescent="0.2">
      <c r="A77" s="59" t="s">
        <v>99</v>
      </c>
      <c r="B77" s="5"/>
      <c r="C77" s="65"/>
      <c r="D77" s="235"/>
      <c r="E77" s="140"/>
      <c r="F77" s="2"/>
      <c r="G77" s="62"/>
      <c r="H77" s="62"/>
      <c r="I77" s="56"/>
      <c r="J77" s="56"/>
      <c r="K77" s="56"/>
      <c r="L77" s="56"/>
      <c r="M77" s="56"/>
      <c r="N77" s="56"/>
      <c r="O77" s="56"/>
      <c r="P77" s="56"/>
      <c r="Q77" s="56"/>
      <c r="R77" s="56"/>
      <c r="S77" s="56"/>
    </row>
    <row r="78" spans="1:23" x14ac:dyDescent="0.2">
      <c r="A78" s="165" t="s">
        <v>8</v>
      </c>
      <c r="B78" s="7"/>
      <c r="C78" s="16"/>
      <c r="D78" s="5"/>
      <c r="E78" s="254"/>
      <c r="F78" s="2"/>
      <c r="G78" s="2"/>
      <c r="H78" s="2"/>
      <c r="I78" s="2"/>
      <c r="J78" s="2"/>
      <c r="K78" s="2"/>
    </row>
    <row r="79" spans="1:23" x14ac:dyDescent="0.2">
      <c r="A79" s="252" t="s">
        <v>130</v>
      </c>
      <c r="B79" s="7"/>
      <c r="C79" s="16"/>
      <c r="D79" s="5"/>
      <c r="E79" s="254">
        <v>25</v>
      </c>
      <c r="F79" s="2"/>
      <c r="G79" s="2"/>
      <c r="H79" s="2"/>
      <c r="I79" s="2"/>
      <c r="J79" s="2"/>
      <c r="K79" s="2"/>
    </row>
    <row r="80" spans="1:23" x14ac:dyDescent="0.2">
      <c r="A80" s="245" t="s">
        <v>99</v>
      </c>
      <c r="B80" s="7"/>
      <c r="C80" s="16"/>
      <c r="D80" s="5"/>
      <c r="E80" s="254">
        <v>8</v>
      </c>
      <c r="F80" s="2"/>
      <c r="G80" s="2"/>
      <c r="H80" s="2"/>
      <c r="I80" s="2"/>
      <c r="J80" s="2"/>
      <c r="K80" s="2"/>
    </row>
    <row r="81" spans="1:23" x14ac:dyDescent="0.2">
      <c r="A81" s="212" t="s">
        <v>131</v>
      </c>
      <c r="B81" s="5"/>
      <c r="C81" s="65"/>
      <c r="D81" s="235"/>
      <c r="E81" s="140"/>
      <c r="F81" s="2"/>
      <c r="H81" s="58"/>
      <c r="I81" s="58"/>
      <c r="J81" s="58"/>
      <c r="K81" s="58"/>
      <c r="L81" s="56"/>
      <c r="M81" s="56"/>
      <c r="N81" s="56"/>
      <c r="O81" s="56"/>
    </row>
    <row r="82" spans="1:23" x14ac:dyDescent="0.2">
      <c r="A82" s="59" t="s">
        <v>99</v>
      </c>
      <c r="B82" s="5"/>
      <c r="C82" s="65"/>
      <c r="D82" s="235"/>
      <c r="E82" s="140"/>
      <c r="F82" s="2"/>
      <c r="G82" s="2"/>
      <c r="H82" s="58"/>
      <c r="I82" s="58"/>
      <c r="J82" s="58"/>
      <c r="K82" s="58"/>
      <c r="L82" s="56"/>
      <c r="M82" s="56"/>
      <c r="N82" s="56"/>
      <c r="O82" s="56"/>
    </row>
    <row r="83" spans="1:23" x14ac:dyDescent="0.2">
      <c r="A83" s="165" t="s">
        <v>12</v>
      </c>
      <c r="B83" s="7"/>
      <c r="C83" s="16"/>
      <c r="D83" s="5"/>
      <c r="E83" s="254"/>
      <c r="F83" s="2"/>
      <c r="G83" s="2"/>
      <c r="H83" s="58"/>
      <c r="I83" s="58"/>
      <c r="J83" s="58"/>
      <c r="K83" s="58"/>
      <c r="L83" s="56"/>
      <c r="M83" s="56"/>
      <c r="N83" s="56"/>
      <c r="O83" s="56"/>
    </row>
    <row r="84" spans="1:23" ht="13.5" customHeight="1" x14ac:dyDescent="0.2">
      <c r="A84" s="212" t="s">
        <v>132</v>
      </c>
      <c r="B84" s="5"/>
      <c r="C84" s="65"/>
      <c r="D84" s="235"/>
      <c r="E84" s="140"/>
      <c r="F84" s="2"/>
      <c r="G84" s="2"/>
      <c r="H84" s="62"/>
      <c r="I84" s="58"/>
      <c r="J84" s="58"/>
      <c r="K84" s="58"/>
      <c r="L84" s="56"/>
      <c r="M84" s="56"/>
      <c r="N84" s="56"/>
      <c r="O84" s="56"/>
    </row>
    <row r="85" spans="1:23" x14ac:dyDescent="0.2">
      <c r="A85" s="59" t="s">
        <v>99</v>
      </c>
      <c r="B85" s="5"/>
      <c r="C85" s="65"/>
      <c r="D85" s="235"/>
      <c r="E85" s="140"/>
      <c r="F85" s="2"/>
      <c r="G85" s="2"/>
      <c r="H85" s="58"/>
      <c r="I85" s="58"/>
      <c r="J85" s="58"/>
      <c r="K85" s="58"/>
      <c r="L85" s="56"/>
      <c r="M85" s="56"/>
      <c r="N85" s="56"/>
      <c r="O85" s="56"/>
    </row>
    <row r="86" spans="1:23" x14ac:dyDescent="0.2">
      <c r="A86" s="212" t="s">
        <v>30</v>
      </c>
      <c r="B86" s="5"/>
      <c r="C86" s="65"/>
      <c r="D86" s="235"/>
      <c r="E86" s="140"/>
      <c r="F86" s="2"/>
      <c r="G86" s="2"/>
      <c r="H86" s="58"/>
      <c r="I86" s="58"/>
      <c r="J86" s="58"/>
      <c r="K86" s="58"/>
      <c r="L86" s="56"/>
      <c r="M86" s="56"/>
      <c r="N86" s="56"/>
      <c r="O86" s="56"/>
      <c r="P86" s="56"/>
    </row>
    <row r="87" spans="1:23" x14ac:dyDescent="0.2">
      <c r="A87" s="212" t="s">
        <v>31</v>
      </c>
      <c r="B87" s="5"/>
      <c r="C87" s="65"/>
      <c r="D87" s="235"/>
      <c r="E87" s="140"/>
      <c r="F87" s="2"/>
      <c r="G87" s="2"/>
      <c r="H87" s="58"/>
      <c r="I87" s="58"/>
      <c r="J87" s="58"/>
      <c r="K87" s="58"/>
      <c r="L87" s="56"/>
      <c r="M87" s="56"/>
      <c r="N87" s="56"/>
      <c r="O87" s="56"/>
      <c r="P87" s="56"/>
    </row>
    <row r="88" spans="1:23" x14ac:dyDescent="0.2">
      <c r="A88" s="225" t="s">
        <v>119</v>
      </c>
      <c r="B88" s="226"/>
      <c r="C88" s="217"/>
      <c r="D88" s="236"/>
      <c r="E88" s="348">
        <f>SUM(E70:E87)</f>
        <v>61</v>
      </c>
      <c r="F88" s="2"/>
      <c r="G88" s="2"/>
      <c r="H88" s="58"/>
      <c r="I88" s="58"/>
      <c r="J88" s="58"/>
      <c r="K88" s="58"/>
      <c r="L88" s="56"/>
      <c r="M88" s="56"/>
      <c r="N88" s="56"/>
      <c r="O88" s="56"/>
      <c r="P88" s="56"/>
    </row>
    <row r="89" spans="1:23" x14ac:dyDescent="0.2">
      <c r="A89" s="196" t="s">
        <v>10</v>
      </c>
      <c r="B89" s="192"/>
      <c r="C89" s="193"/>
      <c r="D89" s="163"/>
      <c r="E89" s="194"/>
      <c r="F89" s="146"/>
      <c r="G89" s="2"/>
      <c r="H89" s="2"/>
      <c r="I89" s="2"/>
      <c r="J89" s="2"/>
      <c r="K89" s="2"/>
    </row>
    <row r="90" spans="1:23" x14ac:dyDescent="0.2">
      <c r="A90" s="213"/>
      <c r="B90" s="5"/>
      <c r="C90" s="16"/>
      <c r="D90" s="17"/>
      <c r="E90" s="317" t="s">
        <v>241</v>
      </c>
      <c r="F90" s="58"/>
      <c r="G90" s="2"/>
      <c r="H90" s="2"/>
      <c r="I90" s="2"/>
      <c r="J90" s="2"/>
      <c r="K90" s="2"/>
    </row>
    <row r="91" spans="1:23" x14ac:dyDescent="0.2">
      <c r="A91" s="212" t="s">
        <v>118</v>
      </c>
      <c r="B91" s="5"/>
      <c r="C91" s="65"/>
      <c r="D91" s="66"/>
      <c r="E91" s="140">
        <v>0</v>
      </c>
      <c r="F91" s="2"/>
      <c r="G91" s="2"/>
      <c r="H91" s="2"/>
      <c r="I91" s="2"/>
      <c r="J91" s="2"/>
      <c r="K91" s="2"/>
    </row>
    <row r="92" spans="1:23" x14ac:dyDescent="0.2">
      <c r="A92" s="212"/>
      <c r="B92" s="5"/>
      <c r="C92" s="320" t="s">
        <v>116</v>
      </c>
      <c r="D92" s="321" t="s">
        <v>258</v>
      </c>
      <c r="E92" s="317" t="s">
        <v>241</v>
      </c>
      <c r="F92" s="2"/>
      <c r="G92" s="2"/>
      <c r="H92" s="2"/>
      <c r="I92" s="2"/>
      <c r="J92" s="2"/>
      <c r="K92" s="2"/>
    </row>
    <row r="93" spans="1:23" x14ac:dyDescent="0.2">
      <c r="A93" s="29" t="s">
        <v>115</v>
      </c>
      <c r="B93" s="9"/>
      <c r="C93" s="219">
        <v>0</v>
      </c>
      <c r="D93" s="256">
        <v>5.5</v>
      </c>
      <c r="E93" s="344">
        <f>+C93*D93</f>
        <v>0</v>
      </c>
      <c r="F93" s="2"/>
      <c r="G93" s="2"/>
      <c r="H93" s="2"/>
      <c r="I93" s="2"/>
      <c r="J93" s="2"/>
      <c r="K93" s="2"/>
    </row>
    <row r="94" spans="1:23" x14ac:dyDescent="0.2">
      <c r="A94" s="221" t="s">
        <v>117</v>
      </c>
      <c r="B94" s="222"/>
      <c r="C94" s="223"/>
      <c r="D94" s="224"/>
      <c r="E94" s="348">
        <f>E93+E91</f>
        <v>0</v>
      </c>
      <c r="F94" s="2"/>
      <c r="G94" s="2"/>
      <c r="H94" s="2"/>
      <c r="I94" s="2"/>
      <c r="J94" s="2"/>
      <c r="K94" s="2"/>
    </row>
    <row r="95" spans="1:23" ht="15" x14ac:dyDescent="0.25">
      <c r="A95" s="164" t="s">
        <v>93</v>
      </c>
      <c r="B95" s="157"/>
      <c r="C95" s="158"/>
      <c r="D95" s="159"/>
      <c r="E95" s="159"/>
      <c r="F95" s="146"/>
      <c r="G95" s="56"/>
      <c r="H95" s="190"/>
      <c r="I95" s="58"/>
      <c r="J95" s="58"/>
      <c r="K95" s="58"/>
      <c r="L95" s="56"/>
      <c r="M95" s="56"/>
      <c r="N95" s="56"/>
      <c r="O95" s="56"/>
      <c r="P95" s="56"/>
      <c r="Q95" s="56"/>
      <c r="R95" s="56"/>
      <c r="S95" s="56"/>
      <c r="T95" s="56"/>
      <c r="U95" s="56"/>
      <c r="V95" s="56"/>
      <c r="W95" s="56"/>
    </row>
    <row r="96" spans="1:23" ht="13.5" customHeight="1" x14ac:dyDescent="0.2">
      <c r="A96" s="26"/>
      <c r="B96" s="7"/>
      <c r="C96" s="8"/>
      <c r="D96" s="132"/>
      <c r="E96" s="317" t="s">
        <v>241</v>
      </c>
      <c r="F96" s="2"/>
      <c r="H96" s="56"/>
      <c r="I96" s="56"/>
      <c r="J96" s="56"/>
      <c r="K96" s="56"/>
      <c r="L96" s="56"/>
      <c r="M96" s="56"/>
      <c r="N96" s="56"/>
      <c r="O96" s="56"/>
      <c r="P96" s="56"/>
      <c r="Q96" s="56"/>
      <c r="R96" s="56"/>
      <c r="S96" s="56"/>
    </row>
    <row r="97" spans="1:19" ht="13.5" customHeight="1" x14ac:dyDescent="0.2">
      <c r="A97" s="246" t="s">
        <v>106</v>
      </c>
      <c r="B97" s="7"/>
      <c r="C97" s="8"/>
      <c r="D97" s="132"/>
      <c r="E97" s="258">
        <v>185</v>
      </c>
      <c r="F97" s="2"/>
      <c r="H97" s="56"/>
      <c r="I97" s="56"/>
      <c r="J97" s="56"/>
      <c r="K97" s="56"/>
      <c r="L97" s="56"/>
      <c r="M97" s="56"/>
      <c r="N97" s="56"/>
      <c r="O97" s="56"/>
      <c r="P97" s="56"/>
      <c r="Q97" s="56"/>
      <c r="R97" s="56"/>
      <c r="S97" s="56"/>
    </row>
    <row r="98" spans="1:19" x14ac:dyDescent="0.2">
      <c r="A98" s="246" t="s">
        <v>28</v>
      </c>
      <c r="B98" s="7"/>
      <c r="C98" s="65"/>
      <c r="D98" s="66"/>
      <c r="E98" s="140">
        <v>18</v>
      </c>
      <c r="F98" s="2"/>
      <c r="G98" s="2"/>
      <c r="H98" s="58"/>
      <c r="I98" s="58"/>
      <c r="J98" s="58"/>
      <c r="K98" s="58"/>
      <c r="L98" s="56"/>
      <c r="M98" s="56"/>
      <c r="N98" s="56"/>
      <c r="O98" s="56"/>
      <c r="P98" s="56"/>
      <c r="Q98" s="56"/>
      <c r="R98" s="56"/>
      <c r="S98" s="56"/>
    </row>
    <row r="99" spans="1:19" x14ac:dyDescent="0.2">
      <c r="A99" s="246" t="s">
        <v>102</v>
      </c>
      <c r="B99" s="7"/>
      <c r="C99" s="65"/>
      <c r="D99" s="66"/>
      <c r="E99" s="140">
        <v>0</v>
      </c>
      <c r="F99" s="2"/>
      <c r="G99" s="2"/>
      <c r="H99" s="58"/>
      <c r="I99" s="58"/>
      <c r="J99" s="58"/>
      <c r="K99" s="58"/>
      <c r="L99" s="56"/>
      <c r="M99" s="56"/>
      <c r="N99" s="56"/>
      <c r="O99" s="56"/>
      <c r="P99" s="56"/>
      <c r="Q99" s="56"/>
      <c r="R99" s="56"/>
      <c r="S99" s="56"/>
    </row>
    <row r="100" spans="1:19" ht="15" x14ac:dyDescent="0.25">
      <c r="A100" s="246" t="s">
        <v>91</v>
      </c>
      <c r="B100" s="63" t="s">
        <v>234</v>
      </c>
      <c r="C100" s="65"/>
      <c r="D100" s="66"/>
      <c r="E100" s="140">
        <v>0</v>
      </c>
      <c r="F100" s="2"/>
      <c r="G100" s="2"/>
      <c r="H100" s="189"/>
      <c r="I100" s="13"/>
      <c r="J100" s="13"/>
      <c r="K100" s="13"/>
      <c r="L100" s="42"/>
      <c r="M100" s="42"/>
      <c r="N100" s="42"/>
      <c r="O100" s="42"/>
      <c r="P100" s="42"/>
      <c r="Q100" s="42"/>
      <c r="R100" s="42"/>
      <c r="S100" s="42"/>
    </row>
    <row r="101" spans="1:19" ht="15" x14ac:dyDescent="0.25">
      <c r="A101" s="246" t="s">
        <v>101</v>
      </c>
      <c r="B101" s="63"/>
      <c r="C101" s="65"/>
      <c r="D101" s="66"/>
      <c r="E101" s="281">
        <v>1.45</v>
      </c>
      <c r="F101" s="2"/>
      <c r="G101" s="2"/>
      <c r="H101" s="189"/>
      <c r="I101" s="13"/>
      <c r="J101" s="13"/>
      <c r="K101" s="13"/>
      <c r="L101" s="42"/>
      <c r="M101" s="42"/>
      <c r="N101" s="42"/>
      <c r="O101" s="42"/>
      <c r="P101" s="42"/>
      <c r="Q101" s="42"/>
      <c r="R101" s="42"/>
      <c r="S101" s="42"/>
    </row>
    <row r="102" spans="1:19" x14ac:dyDescent="0.2">
      <c r="A102" s="215" t="s">
        <v>120</v>
      </c>
      <c r="B102" s="216"/>
      <c r="C102" s="217"/>
      <c r="D102" s="218"/>
      <c r="E102" s="348">
        <f>SUM(E97:E101)</f>
        <v>204.45</v>
      </c>
      <c r="F102" s="2"/>
      <c r="G102" s="2"/>
      <c r="H102" s="58"/>
      <c r="I102" s="58"/>
      <c r="J102" s="58"/>
      <c r="K102" s="58"/>
      <c r="L102" s="56"/>
      <c r="M102" s="56"/>
      <c r="N102" s="56"/>
      <c r="O102" s="56"/>
      <c r="P102" s="56"/>
      <c r="Q102" s="56"/>
      <c r="R102" s="56"/>
      <c r="S102" s="56"/>
    </row>
    <row r="103" spans="1:19" x14ac:dyDescent="0.2">
      <c r="A103" s="144"/>
      <c r="B103" s="157"/>
      <c r="C103" s="202"/>
      <c r="D103" s="203"/>
      <c r="E103" s="198"/>
      <c r="F103" s="146"/>
      <c r="G103" s="2"/>
      <c r="H103" s="2"/>
      <c r="I103" s="2"/>
      <c r="J103" s="2"/>
      <c r="K103" s="2"/>
    </row>
    <row r="104" spans="1:19" x14ac:dyDescent="0.2">
      <c r="A104" s="394" t="s">
        <v>11</v>
      </c>
      <c r="B104" s="395"/>
      <c r="C104" s="396"/>
      <c r="D104" s="397"/>
      <c r="E104" s="348">
        <f>E59+E67+E88+E94+E102</f>
        <v>544.34999999999991</v>
      </c>
      <c r="F104" s="2"/>
      <c r="G104" s="2"/>
      <c r="H104" s="2"/>
      <c r="I104" s="2"/>
      <c r="J104" s="2"/>
      <c r="K104" s="2"/>
    </row>
    <row r="105" spans="1:19" x14ac:dyDescent="0.2">
      <c r="A105" s="22"/>
      <c r="B105" s="5"/>
      <c r="C105" s="16"/>
      <c r="D105" s="17"/>
      <c r="E105" s="186"/>
      <c r="F105" s="2"/>
      <c r="G105" s="2"/>
      <c r="H105" s="2"/>
      <c r="I105" s="2"/>
      <c r="J105" s="2"/>
      <c r="K105" s="2"/>
    </row>
    <row r="106" spans="1:19" x14ac:dyDescent="0.2">
      <c r="A106" s="195" t="s">
        <v>100</v>
      </c>
      <c r="B106" s="146"/>
      <c r="C106" s="187"/>
      <c r="D106" s="157"/>
      <c r="E106" s="146"/>
      <c r="F106" s="146"/>
    </row>
    <row r="107" spans="1:19" x14ac:dyDescent="0.2">
      <c r="A107" s="18" t="s">
        <v>121</v>
      </c>
      <c r="B107" s="2"/>
      <c r="C107" s="311" t="s">
        <v>257</v>
      </c>
      <c r="D107" s="323" t="s">
        <v>256</v>
      </c>
      <c r="E107" s="317" t="s">
        <v>241</v>
      </c>
      <c r="F107" s="2"/>
      <c r="Q107" s="87"/>
    </row>
    <row r="108" spans="1:19" x14ac:dyDescent="0.2">
      <c r="A108" s="289" t="s">
        <v>82</v>
      </c>
      <c r="B108" s="7"/>
      <c r="C108" s="112">
        <v>0</v>
      </c>
      <c r="D108" s="139">
        <v>20</v>
      </c>
      <c r="E108" s="339">
        <f>C108*D108</f>
        <v>0</v>
      </c>
      <c r="F108" s="2"/>
    </row>
    <row r="109" spans="1:19" x14ac:dyDescent="0.2">
      <c r="A109" s="289" t="s">
        <v>9</v>
      </c>
      <c r="B109" s="7"/>
      <c r="C109" s="112">
        <v>0</v>
      </c>
      <c r="D109" s="140">
        <v>17.5</v>
      </c>
      <c r="E109" s="339">
        <f t="shared" ref="E109:E116" si="3">C109*D109</f>
        <v>0</v>
      </c>
      <c r="F109" s="2"/>
    </row>
    <row r="110" spans="1:19" x14ac:dyDescent="0.2">
      <c r="A110" s="289" t="s">
        <v>327</v>
      </c>
      <c r="B110" s="7"/>
      <c r="C110" s="112">
        <v>1</v>
      </c>
      <c r="D110" s="140">
        <v>25</v>
      </c>
      <c r="E110" s="339">
        <f t="shared" si="3"/>
        <v>25</v>
      </c>
      <c r="F110" s="2"/>
    </row>
    <row r="111" spans="1:19" x14ac:dyDescent="0.2">
      <c r="A111" s="289"/>
      <c r="B111" s="7"/>
      <c r="C111" s="112"/>
      <c r="D111" s="140"/>
      <c r="E111" s="339">
        <f t="shared" si="3"/>
        <v>0</v>
      </c>
      <c r="F111" s="2"/>
    </row>
    <row r="112" spans="1:19" x14ac:dyDescent="0.2">
      <c r="A112" s="289"/>
      <c r="B112" s="7"/>
      <c r="C112" s="112"/>
      <c r="D112" s="140"/>
      <c r="E112" s="339">
        <f t="shared" si="3"/>
        <v>0</v>
      </c>
      <c r="F112" s="2"/>
    </row>
    <row r="113" spans="1:19" ht="14.25" customHeight="1" x14ac:dyDescent="0.2">
      <c r="A113" s="303" t="s">
        <v>108</v>
      </c>
      <c r="B113" s="7"/>
      <c r="C113" s="112">
        <v>0</v>
      </c>
      <c r="D113" s="140">
        <v>18</v>
      </c>
      <c r="E113" s="339">
        <f t="shared" si="3"/>
        <v>0</v>
      </c>
      <c r="F113" s="2"/>
    </row>
    <row r="114" spans="1:19" ht="14.25" customHeight="1" x14ac:dyDescent="0.2">
      <c r="A114" s="303"/>
      <c r="B114" s="7"/>
      <c r="C114" s="112"/>
      <c r="D114" s="140"/>
      <c r="E114" s="339">
        <f t="shared" si="3"/>
        <v>0</v>
      </c>
      <c r="F114" s="2"/>
    </row>
    <row r="115" spans="1:19" ht="14.25" customHeight="1" x14ac:dyDescent="0.2">
      <c r="A115" s="303"/>
      <c r="B115" s="7"/>
      <c r="C115" s="112"/>
      <c r="D115" s="140"/>
      <c r="E115" s="339">
        <f t="shared" si="3"/>
        <v>0</v>
      </c>
      <c r="F115" s="2"/>
    </row>
    <row r="116" spans="1:19" ht="12" customHeight="1" x14ac:dyDescent="0.2">
      <c r="A116" s="303"/>
      <c r="B116" s="5"/>
      <c r="C116" s="112"/>
      <c r="D116" s="140"/>
      <c r="E116" s="339">
        <f t="shared" si="3"/>
        <v>0</v>
      </c>
      <c r="F116" s="2"/>
    </row>
    <row r="117" spans="1:19" ht="12.75" customHeight="1" x14ac:dyDescent="0.2">
      <c r="A117" s="289"/>
      <c r="B117" s="399"/>
      <c r="C117" s="112"/>
      <c r="D117" s="140"/>
      <c r="E117" s="343">
        <f>C117*D117</f>
        <v>0</v>
      </c>
      <c r="F117" s="2"/>
      <c r="H117" s="563" t="s">
        <v>337</v>
      </c>
    </row>
    <row r="118" spans="1:19" ht="12" customHeight="1" x14ac:dyDescent="0.2">
      <c r="A118" s="394" t="s">
        <v>226</v>
      </c>
      <c r="B118" s="395"/>
      <c r="C118" s="396"/>
      <c r="D118" s="398"/>
      <c r="E118" s="348">
        <f>SUM(E108:E117)</f>
        <v>25</v>
      </c>
      <c r="F118" s="2"/>
      <c r="H118" s="564" t="s">
        <v>357</v>
      </c>
    </row>
    <row r="119" spans="1:19" ht="12" customHeight="1" x14ac:dyDescent="0.2">
      <c r="A119" s="15"/>
      <c r="B119" s="5"/>
      <c r="C119" s="16"/>
      <c r="D119" s="5"/>
      <c r="E119" s="186"/>
      <c r="F119" s="2"/>
    </row>
    <row r="120" spans="1:19" ht="12.75" customHeight="1" x14ac:dyDescent="0.2">
      <c r="A120" s="22" t="s">
        <v>167</v>
      </c>
      <c r="B120" s="5"/>
      <c r="C120" s="310" t="s">
        <v>257</v>
      </c>
      <c r="D120" s="310" t="s">
        <v>256</v>
      </c>
      <c r="E120" s="317" t="s">
        <v>241</v>
      </c>
      <c r="F120" s="2"/>
      <c r="H120" s="563" t="s">
        <v>335</v>
      </c>
    </row>
    <row r="121" spans="1:19" ht="12.75" customHeight="1" x14ac:dyDescent="0.2">
      <c r="A121" s="285" t="s">
        <v>3</v>
      </c>
      <c r="B121" s="5"/>
      <c r="C121" s="112">
        <v>1</v>
      </c>
      <c r="D121" s="141">
        <v>38</v>
      </c>
      <c r="E121" s="343">
        <f>C121*D121</f>
        <v>38</v>
      </c>
      <c r="F121" s="2"/>
      <c r="H121" s="564" t="s">
        <v>336</v>
      </c>
    </row>
    <row r="122" spans="1:19" ht="12.75" customHeight="1" x14ac:dyDescent="0.2">
      <c r="A122" s="289" t="s">
        <v>43</v>
      </c>
      <c r="B122" s="63"/>
      <c r="C122" s="112">
        <v>1</v>
      </c>
      <c r="D122" s="141">
        <v>5</v>
      </c>
      <c r="E122" s="343">
        <f t="shared" ref="E122:E133" si="4">C122*D122</f>
        <v>5</v>
      </c>
      <c r="F122" s="2"/>
      <c r="H122" s="57" t="s">
        <v>359</v>
      </c>
      <c r="S122" s="32"/>
    </row>
    <row r="123" spans="1:19" ht="12.75" customHeight="1" x14ac:dyDescent="0.2">
      <c r="A123" s="289" t="s">
        <v>137</v>
      </c>
      <c r="B123" s="63"/>
      <c r="C123" s="112">
        <v>1</v>
      </c>
      <c r="D123" s="141">
        <v>5.2</v>
      </c>
      <c r="E123" s="343">
        <f t="shared" si="4"/>
        <v>5.2</v>
      </c>
      <c r="F123" s="2"/>
      <c r="S123" s="32"/>
    </row>
    <row r="124" spans="1:19" ht="12.75" customHeight="1" x14ac:dyDescent="0.2">
      <c r="A124" s="289"/>
      <c r="B124" s="63"/>
      <c r="C124" s="112"/>
      <c r="D124" s="141"/>
      <c r="E124" s="343">
        <f t="shared" si="4"/>
        <v>0</v>
      </c>
      <c r="F124" s="2"/>
      <c r="H124" t="s">
        <v>360</v>
      </c>
      <c r="S124" s="32"/>
    </row>
    <row r="125" spans="1:19" ht="12.75" customHeight="1" x14ac:dyDescent="0.2">
      <c r="A125" s="289"/>
      <c r="B125" s="63"/>
      <c r="C125" s="112"/>
      <c r="D125" s="141"/>
      <c r="E125" s="343">
        <f t="shared" si="4"/>
        <v>0</v>
      </c>
      <c r="F125" s="2"/>
      <c r="H125" s="564" t="s">
        <v>361</v>
      </c>
      <c r="S125" s="32"/>
    </row>
    <row r="126" spans="1:19" ht="12.75" customHeight="1" x14ac:dyDescent="0.2">
      <c r="A126" s="289"/>
      <c r="B126" s="402"/>
      <c r="C126" s="112"/>
      <c r="D126" s="140"/>
      <c r="E126" s="343">
        <f t="shared" si="4"/>
        <v>0</v>
      </c>
      <c r="F126" s="2"/>
      <c r="S126" s="32"/>
    </row>
    <row r="127" spans="1:19" ht="12.75" customHeight="1" x14ac:dyDescent="0.2">
      <c r="A127" s="253" t="s">
        <v>227</v>
      </c>
      <c r="B127" s="197"/>
      <c r="C127" s="400"/>
      <c r="D127" s="401"/>
      <c r="E127" s="348">
        <f>SUM(E121:E126)</f>
        <v>48.2</v>
      </c>
      <c r="F127" s="2"/>
      <c r="H127" s="563" t="s">
        <v>338</v>
      </c>
      <c r="S127" s="32"/>
    </row>
    <row r="128" spans="1:19" ht="12.75" customHeight="1" x14ac:dyDescent="0.2">
      <c r="A128" s="52"/>
      <c r="B128" s="63"/>
      <c r="C128" s="65"/>
      <c r="D128" s="66"/>
      <c r="E128" s="186"/>
      <c r="F128" s="2"/>
      <c r="H128" s="564" t="s">
        <v>339</v>
      </c>
      <c r="S128" s="32"/>
    </row>
    <row r="129" spans="1:19" s="42" customFormat="1" ht="12.75" customHeight="1" x14ac:dyDescent="0.2">
      <c r="A129" s="18" t="s">
        <v>210</v>
      </c>
      <c r="B129" s="20"/>
      <c r="C129" s="320" t="s">
        <v>257</v>
      </c>
      <c r="D129" s="332" t="s">
        <v>256</v>
      </c>
      <c r="E129" s="317" t="s">
        <v>241</v>
      </c>
      <c r="F129" s="13"/>
      <c r="H129"/>
      <c r="S129" s="283"/>
    </row>
    <row r="130" spans="1:19" ht="12.75" customHeight="1" x14ac:dyDescent="0.2">
      <c r="A130" s="365"/>
      <c r="B130" s="366"/>
      <c r="C130" s="112"/>
      <c r="D130" s="140"/>
      <c r="E130" s="343">
        <f t="shared" si="4"/>
        <v>0</v>
      </c>
      <c r="F130" s="2"/>
      <c r="H130" s="563" t="s">
        <v>340</v>
      </c>
      <c r="S130" s="32"/>
    </row>
    <row r="131" spans="1:19" ht="12.75" customHeight="1" x14ac:dyDescent="0.2">
      <c r="A131" s="337"/>
      <c r="B131" s="63"/>
      <c r="C131" s="282"/>
      <c r="D131" s="338"/>
      <c r="E131" s="362">
        <f t="shared" si="4"/>
        <v>0</v>
      </c>
      <c r="F131" s="2"/>
      <c r="H131" s="564" t="s">
        <v>358</v>
      </c>
      <c r="S131" s="32"/>
    </row>
    <row r="132" spans="1:19" ht="12.75" customHeight="1" x14ac:dyDescent="0.2">
      <c r="A132" s="289" t="s">
        <v>162</v>
      </c>
      <c r="B132" s="63"/>
      <c r="C132" s="112">
        <v>1</v>
      </c>
      <c r="D132" s="141">
        <v>8</v>
      </c>
      <c r="E132" s="343">
        <f t="shared" si="4"/>
        <v>8</v>
      </c>
      <c r="F132" s="2"/>
      <c r="S132" s="32"/>
    </row>
    <row r="133" spans="1:19" ht="12.75" customHeight="1" x14ac:dyDescent="0.2">
      <c r="A133" s="289"/>
      <c r="B133" s="63"/>
      <c r="C133" s="112"/>
      <c r="D133" s="141"/>
      <c r="E133" s="343">
        <f t="shared" si="4"/>
        <v>0</v>
      </c>
      <c r="F133" s="2"/>
      <c r="S133" s="32"/>
    </row>
    <row r="134" spans="1:19" ht="12.75" customHeight="1" x14ac:dyDescent="0.2">
      <c r="A134" s="253" t="s">
        <v>168</v>
      </c>
      <c r="B134" s="280"/>
      <c r="C134" s="391" t="s">
        <v>301</v>
      </c>
      <c r="D134" s="392" t="s">
        <v>302</v>
      </c>
      <c r="E134" s="393" t="s">
        <v>241</v>
      </c>
      <c r="F134" s="2"/>
      <c r="S134" s="32"/>
    </row>
    <row r="135" spans="1:19" ht="12.75" customHeight="1" x14ac:dyDescent="0.2">
      <c r="A135" s="289"/>
      <c r="B135" s="63"/>
      <c r="C135" s="282"/>
      <c r="D135" s="338"/>
      <c r="E135" s="362">
        <f t="shared" ref="E135:E139" si="5">C135*D135</f>
        <v>0</v>
      </c>
      <c r="F135" s="2"/>
      <c r="S135" s="32"/>
    </row>
    <row r="136" spans="1:19" ht="12.75" customHeight="1" x14ac:dyDescent="0.2">
      <c r="A136" s="289" t="s">
        <v>161</v>
      </c>
      <c r="B136" s="63"/>
      <c r="C136" s="112">
        <v>4</v>
      </c>
      <c r="D136" s="141">
        <v>12</v>
      </c>
      <c r="E136" s="343">
        <f t="shared" si="5"/>
        <v>48</v>
      </c>
      <c r="F136" s="2"/>
      <c r="S136" s="32"/>
    </row>
    <row r="137" spans="1:19" ht="12.75" customHeight="1" x14ac:dyDescent="0.2">
      <c r="A137" s="289" t="s">
        <v>163</v>
      </c>
      <c r="B137" s="63"/>
      <c r="C137" s="112">
        <v>4</v>
      </c>
      <c r="D137" s="141">
        <v>3</v>
      </c>
      <c r="E137" s="343">
        <f t="shared" si="5"/>
        <v>12</v>
      </c>
      <c r="F137" s="2"/>
      <c r="S137" s="32"/>
    </row>
    <row r="138" spans="1:19" ht="12.75" customHeight="1" x14ac:dyDescent="0.2">
      <c r="A138" s="289"/>
      <c r="B138" s="63"/>
      <c r="C138" s="112"/>
      <c r="D138" s="141"/>
      <c r="E138" s="343">
        <f t="shared" si="5"/>
        <v>0</v>
      </c>
      <c r="F138" s="2"/>
      <c r="S138" s="32"/>
    </row>
    <row r="139" spans="1:19" ht="12.75" customHeight="1" x14ac:dyDescent="0.2">
      <c r="A139" s="289"/>
      <c r="B139" s="402"/>
      <c r="C139" s="112"/>
      <c r="D139" s="140"/>
      <c r="E139" s="343">
        <f t="shared" si="5"/>
        <v>0</v>
      </c>
      <c r="F139" s="2"/>
      <c r="S139" s="32"/>
    </row>
    <row r="140" spans="1:19" ht="12.75" customHeight="1" x14ac:dyDescent="0.2">
      <c r="A140" s="403" t="s">
        <v>169</v>
      </c>
      <c r="B140" s="404"/>
      <c r="C140" s="400"/>
      <c r="D140" s="405"/>
      <c r="E140" s="348">
        <f>SUM(E130:E139)</f>
        <v>68</v>
      </c>
      <c r="F140" s="2"/>
      <c r="S140" s="32"/>
    </row>
    <row r="141" spans="1:19" ht="12.75" customHeight="1" x14ac:dyDescent="0.2">
      <c r="A141" s="185"/>
      <c r="B141" s="199"/>
      <c r="C141" s="65"/>
      <c r="D141" s="235"/>
      <c r="E141" s="186"/>
      <c r="F141" s="2"/>
      <c r="S141" s="32"/>
    </row>
    <row r="142" spans="1:19" ht="12.75" customHeight="1" x14ac:dyDescent="0.2">
      <c r="A142" s="359" t="s">
        <v>164</v>
      </c>
      <c r="B142" s="378" t="s">
        <v>255</v>
      </c>
      <c r="C142" s="363" t="s">
        <v>124</v>
      </c>
      <c r="D142" s="333" t="s">
        <v>254</v>
      </c>
      <c r="E142" s="390" t="s">
        <v>241</v>
      </c>
      <c r="F142" s="13"/>
      <c r="S142" s="32"/>
    </row>
    <row r="143" spans="1:19" ht="12.75" customHeight="1" x14ac:dyDescent="0.2">
      <c r="A143" s="289" t="s">
        <v>134</v>
      </c>
      <c r="B143" s="360">
        <v>900</v>
      </c>
      <c r="C143" s="282">
        <v>40</v>
      </c>
      <c r="D143" s="361">
        <v>4</v>
      </c>
      <c r="E143" s="362">
        <f>((C143*D143)*(C14/B143))</f>
        <v>14.222222222222223</v>
      </c>
      <c r="F143" s="2"/>
      <c r="S143" s="32"/>
    </row>
    <row r="144" spans="1:19" ht="12.75" customHeight="1" x14ac:dyDescent="0.2">
      <c r="A144" s="326"/>
      <c r="B144" s="297">
        <v>450</v>
      </c>
      <c r="C144" s="123"/>
      <c r="D144" s="259"/>
      <c r="E144" s="344">
        <f>((C144*D144)*(C16/B144))</f>
        <v>0</v>
      </c>
      <c r="F144" s="2"/>
      <c r="S144" s="32"/>
    </row>
    <row r="145" spans="1:19" ht="12.75" customHeight="1" x14ac:dyDescent="0.2">
      <c r="A145" s="239" t="s">
        <v>123</v>
      </c>
      <c r="B145" s="237"/>
      <c r="C145" s="217"/>
      <c r="D145" s="218"/>
      <c r="E145" s="348">
        <f>E127+E140+E143+E144</f>
        <v>130.42222222222222</v>
      </c>
      <c r="F145" s="2"/>
      <c r="S145" s="32"/>
    </row>
    <row r="146" spans="1:19" ht="12.75" customHeight="1" x14ac:dyDescent="0.2">
      <c r="A146" s="164" t="s">
        <v>107</v>
      </c>
      <c r="B146" s="209"/>
      <c r="C146" s="161"/>
      <c r="D146" s="162"/>
      <c r="E146" s="163"/>
      <c r="F146" s="210"/>
      <c r="S146" s="32"/>
    </row>
    <row r="147" spans="1:19" ht="12.75" customHeight="1" x14ac:dyDescent="0.2">
      <c r="A147" s="185"/>
      <c r="B147" s="185"/>
      <c r="C147" s="320" t="s">
        <v>109</v>
      </c>
      <c r="D147" s="321" t="s">
        <v>253</v>
      </c>
      <c r="E147" s="317" t="s">
        <v>241</v>
      </c>
      <c r="F147" s="13"/>
      <c r="S147" s="32"/>
    </row>
    <row r="148" spans="1:19" ht="12.75" customHeight="1" x14ac:dyDescent="0.2">
      <c r="A148" s="185" t="s">
        <v>110</v>
      </c>
      <c r="B148" s="185"/>
      <c r="C148" s="112">
        <v>0</v>
      </c>
      <c r="D148" s="140">
        <v>0.06</v>
      </c>
      <c r="E148" s="343">
        <f>(C148*D148)*C14</f>
        <v>0</v>
      </c>
      <c r="F148" s="13"/>
      <c r="S148" s="32"/>
    </row>
    <row r="149" spans="1:19" ht="12.75" customHeight="1" x14ac:dyDescent="0.2">
      <c r="A149" s="185"/>
      <c r="B149" s="99" t="s">
        <v>111</v>
      </c>
      <c r="C149" s="320" t="s">
        <v>112</v>
      </c>
      <c r="D149" s="321" t="s">
        <v>252</v>
      </c>
      <c r="E149" s="317" t="s">
        <v>241</v>
      </c>
      <c r="F149" s="13"/>
      <c r="S149" s="32"/>
    </row>
    <row r="150" spans="1:19" ht="12.75" customHeight="1" x14ac:dyDescent="0.2">
      <c r="A150" s="185" t="s">
        <v>165</v>
      </c>
      <c r="B150" s="305">
        <v>1</v>
      </c>
      <c r="C150" s="112">
        <v>6</v>
      </c>
      <c r="D150" s="140">
        <v>0.04</v>
      </c>
      <c r="E150" s="349">
        <f>(C14*B150)*(C150*D150)</f>
        <v>19.2</v>
      </c>
      <c r="F150" s="13"/>
      <c r="S150" s="32"/>
    </row>
    <row r="151" spans="1:19" ht="12.75" customHeight="1" x14ac:dyDescent="0.2">
      <c r="A151" s="185"/>
      <c r="B151" s="103" t="s">
        <v>111</v>
      </c>
      <c r="C151" s="320" t="s">
        <v>112</v>
      </c>
      <c r="D151" s="332" t="s">
        <v>300</v>
      </c>
      <c r="E151" s="317" t="s">
        <v>241</v>
      </c>
      <c r="F151" s="13"/>
      <c r="S151" s="32"/>
    </row>
    <row r="152" spans="1:19" ht="12.75" customHeight="1" x14ac:dyDescent="0.2">
      <c r="A152" s="185" t="s">
        <v>159</v>
      </c>
      <c r="B152" s="305">
        <v>0.5</v>
      </c>
      <c r="C152" s="112">
        <v>7</v>
      </c>
      <c r="D152" s="140">
        <v>0.75</v>
      </c>
      <c r="E152" s="349">
        <f>(C16*B152)*(C152*D152)</f>
        <v>3.6749999999999998</v>
      </c>
      <c r="F152" s="13"/>
      <c r="S152" s="32"/>
    </row>
    <row r="153" spans="1:19" s="56" customFormat="1" ht="12.75" customHeight="1" x14ac:dyDescent="0.2">
      <c r="A153" s="205" t="s">
        <v>104</v>
      </c>
      <c r="B153" s="160"/>
      <c r="C153" s="206"/>
      <c r="D153" s="207"/>
      <c r="E153" s="208"/>
      <c r="F153" s="146"/>
      <c r="S153" s="200"/>
    </row>
    <row r="154" spans="1:19" ht="12.75" customHeight="1" x14ac:dyDescent="0.2">
      <c r="A154" s="185"/>
      <c r="B154" s="185"/>
      <c r="C154" s="320" t="s">
        <v>251</v>
      </c>
      <c r="D154" s="321" t="s">
        <v>250</v>
      </c>
      <c r="E154" s="317" t="s">
        <v>241</v>
      </c>
      <c r="F154" s="2"/>
      <c r="G154" s="29"/>
      <c r="S154" s="32"/>
    </row>
    <row r="155" spans="1:19" ht="12.75" customHeight="1" x14ac:dyDescent="0.2">
      <c r="A155" s="365" t="s">
        <v>45</v>
      </c>
      <c r="B155" s="366"/>
      <c r="C155" s="240">
        <v>1.5</v>
      </c>
      <c r="D155" s="140">
        <v>9</v>
      </c>
      <c r="E155" s="343">
        <f>C155*D155</f>
        <v>13.5</v>
      </c>
      <c r="F155" s="2"/>
      <c r="S155" s="32"/>
    </row>
    <row r="156" spans="1:19" ht="12.75" customHeight="1" x14ac:dyDescent="0.2">
      <c r="A156" s="185"/>
      <c r="B156" s="185"/>
      <c r="C156" s="65"/>
      <c r="D156" s="66"/>
      <c r="E156" s="17"/>
      <c r="F156" s="2"/>
      <c r="S156" s="32"/>
    </row>
    <row r="157" spans="1:19" ht="12.75" customHeight="1" x14ac:dyDescent="0.2">
      <c r="A157" s="209"/>
      <c r="B157" s="167"/>
      <c r="C157" s="161"/>
      <c r="D157" s="162"/>
      <c r="E157" s="211"/>
      <c r="F157" s="146"/>
    </row>
    <row r="158" spans="1:19" ht="12.75" customHeight="1" x14ac:dyDescent="0.2">
      <c r="A158" s="52" t="s">
        <v>113</v>
      </c>
      <c r="B158" s="2"/>
      <c r="C158" s="327">
        <v>5.1999999999999998E-2</v>
      </c>
      <c r="D158" s="2"/>
      <c r="E158" s="339">
        <f>(C158*0.67)*(E104+(0.2*E118))</f>
        <v>19.139353999999997</v>
      </c>
      <c r="F158" s="2"/>
      <c r="G158" s="136" t="s">
        <v>59</v>
      </c>
      <c r="H158" s="137"/>
      <c r="I158" s="137"/>
      <c r="J158" s="137"/>
      <c r="K158" s="137"/>
      <c r="L158" s="138"/>
    </row>
    <row r="159" spans="1:19" ht="12.75" customHeight="1" x14ac:dyDescent="0.2">
      <c r="A159" s="23"/>
      <c r="B159" s="2"/>
      <c r="C159" s="2"/>
      <c r="D159" s="2"/>
      <c r="E159" s="30"/>
      <c r="F159" s="2"/>
      <c r="G159" s="20"/>
      <c r="H159" s="20"/>
      <c r="I159" s="70"/>
      <c r="J159" s="70"/>
      <c r="K159" s="20"/>
      <c r="L159" s="70"/>
      <c r="M159" s="71"/>
    </row>
    <row r="160" spans="1:19" ht="12.75" customHeight="1" x14ac:dyDescent="0.2">
      <c r="A160" s="52" t="s">
        <v>85</v>
      </c>
      <c r="B160" s="68"/>
      <c r="C160" s="69"/>
      <c r="D160" s="66"/>
      <c r="E160" s="341">
        <f>E17*0.05</f>
        <v>46.35</v>
      </c>
      <c r="F160" s="58"/>
    </row>
    <row r="161" spans="1:7" ht="12.75" customHeight="1" x14ac:dyDescent="0.2">
      <c r="A161" s="67" t="s">
        <v>232</v>
      </c>
      <c r="B161" s="2"/>
      <c r="C161" s="24"/>
      <c r="E161" s="341">
        <f>E104+E118+E145+E148+E150+E155+E158+E160</f>
        <v>797.96157622222222</v>
      </c>
      <c r="F161" s="2"/>
    </row>
    <row r="162" spans="1:7" ht="12.75" customHeight="1" x14ac:dyDescent="0.2">
      <c r="A162" s="67" t="s">
        <v>231</v>
      </c>
      <c r="B162" s="2"/>
      <c r="C162" s="2"/>
      <c r="D162" s="24"/>
      <c r="E162" s="341">
        <f>E17-E161</f>
        <v>129.03842377777778</v>
      </c>
      <c r="F162" s="2"/>
    </row>
    <row r="163" spans="1:7" ht="12.75" customHeight="1" x14ac:dyDescent="0.2">
      <c r="A163" s="67"/>
      <c r="B163" s="2"/>
      <c r="C163" s="2"/>
      <c r="D163" s="24"/>
      <c r="E163" s="284"/>
      <c r="F163" s="2"/>
    </row>
    <row r="164" spans="1:7" ht="12.75" customHeight="1" x14ac:dyDescent="0.2">
      <c r="A164" s="67" t="s">
        <v>170</v>
      </c>
      <c r="B164" s="2"/>
      <c r="C164" s="2"/>
      <c r="D164" s="24"/>
      <c r="E164" s="341">
        <f>(E104+E118+E127+E143+E144+E148+E150+E155+E158+E160)-(E16*0.05)</f>
        <v>724.01157622222217</v>
      </c>
      <c r="F164" s="2"/>
    </row>
    <row r="165" spans="1:7" ht="14.25" x14ac:dyDescent="0.2">
      <c r="A165" s="33"/>
      <c r="B165" s="2"/>
      <c r="C165" s="85"/>
      <c r="D165" s="85"/>
      <c r="E165" s="86"/>
    </row>
    <row r="166" spans="1:7" x14ac:dyDescent="0.2">
      <c r="A166" s="246" t="s">
        <v>166</v>
      </c>
      <c r="B166" s="7"/>
      <c r="C166" s="65"/>
      <c r="D166" s="84"/>
      <c r="E166" s="350">
        <f>E164/C14</f>
        <v>9.0501447027777768</v>
      </c>
    </row>
    <row r="167" spans="1:7" x14ac:dyDescent="0.2">
      <c r="A167" s="6"/>
      <c r="B167" s="7"/>
      <c r="C167" s="2"/>
      <c r="D167" s="2"/>
      <c r="E167" s="2"/>
    </row>
    <row r="168" spans="1:7" x14ac:dyDescent="0.2">
      <c r="C168" s="595" t="s">
        <v>26</v>
      </c>
      <c r="D168" s="596"/>
      <c r="E168" s="596"/>
      <c r="F168" s="596"/>
      <c r="G168" s="597"/>
    </row>
    <row r="169" spans="1:7" x14ac:dyDescent="0.2">
      <c r="C169" s="241"/>
      <c r="D169" s="242"/>
      <c r="E169" s="242"/>
      <c r="F169" s="242"/>
      <c r="G169" s="243"/>
    </row>
    <row r="170" spans="1:7" x14ac:dyDescent="0.2">
      <c r="C170" s="600" t="s">
        <v>18</v>
      </c>
      <c r="D170" s="601"/>
      <c r="E170" s="601"/>
      <c r="F170" s="601"/>
      <c r="G170" s="602"/>
    </row>
    <row r="171" spans="1:7" x14ac:dyDescent="0.2">
      <c r="A171" s="598" t="s">
        <v>24</v>
      </c>
      <c r="B171" s="599"/>
      <c r="C171" s="35"/>
      <c r="D171" s="35"/>
      <c r="E171" s="35"/>
      <c r="F171" s="36"/>
      <c r="G171" s="36"/>
    </row>
    <row r="172" spans="1:7" x14ac:dyDescent="0.2">
      <c r="A172" s="357" t="s">
        <v>27</v>
      </c>
      <c r="B172" s="358" t="s">
        <v>299</v>
      </c>
      <c r="C172" s="600" t="s">
        <v>26</v>
      </c>
      <c r="D172" s="601"/>
      <c r="E172" s="601"/>
      <c r="F172" s="601"/>
      <c r="G172" s="602"/>
    </row>
    <row r="173" spans="1:7" x14ac:dyDescent="0.2">
      <c r="A173" s="38" t="s">
        <v>21</v>
      </c>
      <c r="B173" s="39">
        <f>C14*1.2</f>
        <v>96</v>
      </c>
      <c r="C173" s="40">
        <f>(C$178*$B173)-$E$161</f>
        <v>-22.281576222222157</v>
      </c>
      <c r="D173" s="40">
        <f>(D$178*B173)-$E$161</f>
        <v>74.678423777777766</v>
      </c>
      <c r="E173" s="40">
        <f>(E$178*$B173)-E$161</f>
        <v>171.63842377777769</v>
      </c>
      <c r="F173" s="41">
        <f>(F$178*$B173)-E$161</f>
        <v>268.59842377777795</v>
      </c>
      <c r="G173" s="41">
        <f>(G$178*B173)-E$161</f>
        <v>365.55842377777776</v>
      </c>
    </row>
    <row r="174" spans="1:7" x14ac:dyDescent="0.2">
      <c r="A174" s="38" t="s">
        <v>20</v>
      </c>
      <c r="B174" s="39">
        <f>C14*1.1</f>
        <v>88</v>
      </c>
      <c r="C174" s="40">
        <f>(C$178*B174)-$E$161</f>
        <v>-86.921576222222257</v>
      </c>
      <c r="D174" s="40">
        <f>(D$178*B174)-$E$161</f>
        <v>1.9584237777777389</v>
      </c>
      <c r="E174" s="40">
        <f>(E$178*$B174)-E$161</f>
        <v>90.838423777777734</v>
      </c>
      <c r="F174" s="41">
        <f>(F$178*$B174)-E$161</f>
        <v>179.71842377777784</v>
      </c>
      <c r="G174" s="41">
        <f>(G$178*B174)-E$161</f>
        <v>268.59842377777773</v>
      </c>
    </row>
    <row r="175" spans="1:7" x14ac:dyDescent="0.2">
      <c r="A175" s="244"/>
      <c r="B175" s="39">
        <f>C14</f>
        <v>80</v>
      </c>
      <c r="C175" s="40">
        <f>(C$178*B175)-$E$161</f>
        <v>-151.56157622222224</v>
      </c>
      <c r="D175" s="40">
        <f>(D$178*B175)-$E$161</f>
        <v>-70.761576222222175</v>
      </c>
      <c r="E175" s="43">
        <f>(E$178*$B175)-E$161</f>
        <v>10.03842377777778</v>
      </c>
      <c r="F175" s="41">
        <f>(F$178*$B175)-E$161</f>
        <v>90.838423777777848</v>
      </c>
      <c r="G175" s="41">
        <f>(G$178*B175)-E$161</f>
        <v>171.63842377777769</v>
      </c>
    </row>
    <row r="176" spans="1:7" x14ac:dyDescent="0.2">
      <c r="A176" s="38" t="s">
        <v>22</v>
      </c>
      <c r="B176" s="39">
        <f>C14*0.9</f>
        <v>72</v>
      </c>
      <c r="C176" s="40">
        <f>(C$178*B176)-$E$161</f>
        <v>-216.20157622222223</v>
      </c>
      <c r="D176" s="40">
        <f>(D$178*B176)-$E$161</f>
        <v>-143.4815762222222</v>
      </c>
      <c r="E176" s="40">
        <f>(E$178*$B176)-E$161</f>
        <v>-70.761576222222288</v>
      </c>
      <c r="F176" s="41">
        <f>(F$178*$B176)-E$161</f>
        <v>1.9584237777778526</v>
      </c>
      <c r="G176" s="41">
        <f>(G$178*B176)-E$161</f>
        <v>74.678423777777766</v>
      </c>
    </row>
    <row r="177" spans="1:7" x14ac:dyDescent="0.2">
      <c r="A177" s="38" t="s">
        <v>23</v>
      </c>
      <c r="B177" s="39">
        <f>C14*0.8</f>
        <v>64</v>
      </c>
      <c r="C177" s="40">
        <f>(C$178*B177)-$E$161</f>
        <v>-280.84157622222222</v>
      </c>
      <c r="D177" s="40">
        <f>(D$178*B177)-$E$161</f>
        <v>-216.20157622222223</v>
      </c>
      <c r="E177" s="40">
        <f>(E$178*$B177)-E$161</f>
        <v>-151.56157622222224</v>
      </c>
      <c r="F177" s="41">
        <f>(F$178*$B177)-E$161</f>
        <v>-86.921576222222143</v>
      </c>
      <c r="G177" s="41">
        <f>(G$178*B177)-E$161</f>
        <v>-22.28157622222227</v>
      </c>
    </row>
    <row r="178" spans="1:7" x14ac:dyDescent="0.2">
      <c r="A178" s="356" t="s">
        <v>25</v>
      </c>
      <c r="B178" s="351"/>
      <c r="C178" s="352">
        <f>D14*0.8</f>
        <v>8.08</v>
      </c>
      <c r="D178" s="352">
        <f>D14*0.9</f>
        <v>9.09</v>
      </c>
      <c r="E178" s="352">
        <f>D14</f>
        <v>10.1</v>
      </c>
      <c r="F178" s="352">
        <f>D14*1.1</f>
        <v>11.110000000000001</v>
      </c>
      <c r="G178" s="352">
        <f>D14*1.2</f>
        <v>12.12</v>
      </c>
    </row>
    <row r="179" spans="1:7" x14ac:dyDescent="0.2">
      <c r="A179" s="356" t="s">
        <v>19</v>
      </c>
      <c r="B179" s="351"/>
      <c r="C179" s="353" t="s">
        <v>23</v>
      </c>
      <c r="D179" s="353" t="s">
        <v>22</v>
      </c>
      <c r="E179" s="354"/>
      <c r="F179" s="353" t="s">
        <v>20</v>
      </c>
      <c r="G179" s="355" t="s">
        <v>21</v>
      </c>
    </row>
  </sheetData>
  <sheetProtection algorithmName="SHA-512" hashValue="ukxpvXeQ43yhzdEGY8tyqDT0RFTBj/Sdznrm6KobcWE0M+d4jg2DG72x6YYqr6kx6qrmoRuYWGgENcnmpZTQnQ==" saltValue="YCs2NULyvlFAUJbIJbL7XA==" spinCount="100000" sheet="1" objects="1" scenarios="1"/>
  <mergeCells count="4">
    <mergeCell ref="C168:G168"/>
    <mergeCell ref="C170:G170"/>
    <mergeCell ref="A171:B171"/>
    <mergeCell ref="C172:G172"/>
  </mergeCells>
  <hyperlinks>
    <hyperlink ref="H121" r:id="rId1" xr:uid="{F623B660-D490-4EED-B1D1-E09A7D27D297}"/>
    <hyperlink ref="H128" r:id="rId2" xr:uid="{D3E0AD18-07E5-4280-A396-5C2602CD28B6}"/>
    <hyperlink ref="H122" r:id="rId3" xr:uid="{27027301-4DDE-4859-8301-0CB7B7AC7AEF}"/>
    <hyperlink ref="H125" r:id="rId4" xr:uid="{DB5180B3-9632-4D21-96C0-952A88E45FB3}"/>
  </hyperlinks>
  <pageMargins left="0.7" right="0.7" top="0.75" bottom="0.75" header="0.3" footer="0.3"/>
  <pageSetup scale="43" fitToHeight="0" orientation="portrait" verticalDpi="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X212"/>
  <sheetViews>
    <sheetView zoomScaleNormal="100" workbookViewId="0">
      <selection activeCell="G7" sqref="G7"/>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9" t="s">
        <v>29</v>
      </c>
      <c r="E1" s="57"/>
    </row>
    <row r="2" spans="1:14" ht="8.25" customHeight="1" x14ac:dyDescent="0.2"/>
    <row r="3" spans="1:14" ht="15" customHeight="1" x14ac:dyDescent="0.2"/>
    <row r="4" spans="1:14" ht="8.25" customHeight="1" x14ac:dyDescent="0.2"/>
    <row r="5" spans="1:14" ht="18.75" customHeight="1" x14ac:dyDescent="0.25">
      <c r="A5" s="4" t="s">
        <v>320</v>
      </c>
      <c r="B5" s="2"/>
      <c r="D5" s="28"/>
      <c r="E5" s="286"/>
      <c r="F5" s="2"/>
      <c r="G5" s="2"/>
      <c r="H5" s="2"/>
      <c r="I5" s="2"/>
      <c r="J5" s="2"/>
      <c r="K5" s="2"/>
    </row>
    <row r="6" spans="1:14" ht="5.25" customHeight="1" x14ac:dyDescent="0.2">
      <c r="A6" s="2"/>
      <c r="B6" s="2"/>
      <c r="C6" s="2"/>
      <c r="D6" s="2"/>
      <c r="E6" s="2"/>
      <c r="F6" s="2"/>
      <c r="G6" s="2"/>
      <c r="H6" s="2"/>
      <c r="I6" s="2"/>
      <c r="J6" s="2"/>
      <c r="K6" s="2"/>
    </row>
    <row r="7" spans="1:14" x14ac:dyDescent="0.2">
      <c r="A7" s="44" t="s">
        <v>83</v>
      </c>
      <c r="B7" s="2"/>
      <c r="D7" s="2"/>
      <c r="E7" s="111"/>
      <c r="F7" s="2"/>
      <c r="G7" s="2"/>
      <c r="H7" s="2"/>
      <c r="I7" s="60"/>
      <c r="J7" s="2"/>
      <c r="K7" s="2"/>
    </row>
    <row r="8" spans="1:14" x14ac:dyDescent="0.2">
      <c r="A8" s="44" t="s">
        <v>229</v>
      </c>
      <c r="B8" s="2"/>
      <c r="D8" s="2"/>
      <c r="E8" s="340"/>
      <c r="F8" s="2"/>
      <c r="G8" s="2"/>
      <c r="H8" s="2"/>
      <c r="I8" s="2"/>
      <c r="J8" s="2"/>
      <c r="K8" s="2"/>
    </row>
    <row r="9" spans="1:14" x14ac:dyDescent="0.2">
      <c r="A9" s="44" t="s">
        <v>71</v>
      </c>
      <c r="B9" s="2"/>
      <c r="D9" s="2"/>
      <c r="E9" s="125"/>
      <c r="F9" s="2"/>
      <c r="G9" s="2"/>
      <c r="H9" s="2"/>
      <c r="I9" s="2"/>
      <c r="J9" s="2"/>
      <c r="K9" s="2"/>
    </row>
    <row r="10" spans="1:14" x14ac:dyDescent="0.2">
      <c r="A10" s="44"/>
      <c r="B10" s="2"/>
      <c r="D10" s="2"/>
      <c r="E10" s="5"/>
      <c r="F10" s="2"/>
      <c r="G10" s="2"/>
      <c r="H10" s="2"/>
      <c r="I10" s="2"/>
      <c r="J10" s="2"/>
      <c r="K10" s="2"/>
    </row>
    <row r="11" spans="1:14" ht="18" x14ac:dyDescent="0.25">
      <c r="A11" s="4" t="s">
        <v>344</v>
      </c>
      <c r="B11" s="594"/>
      <c r="C11" s="576"/>
      <c r="D11" s="2"/>
      <c r="E11" s="2"/>
      <c r="F11" s="2"/>
    </row>
    <row r="12" spans="1:14" x14ac:dyDescent="0.2">
      <c r="A12" s="178" t="s">
        <v>37</v>
      </c>
      <c r="B12" s="176"/>
      <c r="C12" s="177"/>
      <c r="D12" s="176"/>
      <c r="E12" s="176"/>
      <c r="F12" s="146"/>
    </row>
    <row r="13" spans="1:14" x14ac:dyDescent="0.2">
      <c r="A13" s="44"/>
      <c r="B13" s="310" t="s">
        <v>307</v>
      </c>
      <c r="C13" s="85" t="s">
        <v>308</v>
      </c>
      <c r="D13" s="310" t="s">
        <v>240</v>
      </c>
      <c r="E13" s="310" t="s">
        <v>237</v>
      </c>
      <c r="F13" s="2"/>
      <c r="H13" s="72" t="s">
        <v>171</v>
      </c>
      <c r="I13" s="72"/>
      <c r="J13" s="72"/>
      <c r="K13" s="72"/>
    </row>
    <row r="14" spans="1:14" x14ac:dyDescent="0.2">
      <c r="A14" s="67" t="s">
        <v>217</v>
      </c>
      <c r="B14" s="377">
        <v>0.5</v>
      </c>
      <c r="C14" s="240">
        <v>2.5</v>
      </c>
      <c r="D14" s="183">
        <v>110</v>
      </c>
      <c r="E14" s="339">
        <f>C14*D14</f>
        <v>275</v>
      </c>
      <c r="F14" s="2"/>
      <c r="H14" s="29" t="s">
        <v>187</v>
      </c>
      <c r="J14" s="56"/>
      <c r="K14" s="56"/>
      <c r="L14" s="183">
        <v>185</v>
      </c>
      <c r="N14" s="29" t="s">
        <v>188</v>
      </c>
    </row>
    <row r="15" spans="1:14" x14ac:dyDescent="0.2">
      <c r="A15" s="67" t="s">
        <v>218</v>
      </c>
      <c r="B15" s="377">
        <v>0.6</v>
      </c>
      <c r="C15" s="240">
        <v>3</v>
      </c>
      <c r="D15" s="183">
        <v>65</v>
      </c>
      <c r="E15" s="339">
        <f>C15*D15</f>
        <v>195</v>
      </c>
      <c r="F15" s="2"/>
      <c r="H15" s="29" t="s">
        <v>185</v>
      </c>
      <c r="L15" s="577">
        <v>0.5</v>
      </c>
    </row>
    <row r="16" spans="1:14" x14ac:dyDescent="0.2">
      <c r="A16" s="67" t="s">
        <v>215</v>
      </c>
      <c r="B16" s="2"/>
      <c r="C16" s="407">
        <f>C14*(1-B14)</f>
        <v>1.25</v>
      </c>
      <c r="D16" s="2"/>
      <c r="E16" s="328"/>
      <c r="F16" s="2"/>
      <c r="H16" s="29" t="s">
        <v>186</v>
      </c>
      <c r="L16" s="408">
        <f>(L14/0.87)*(1-L15)</f>
        <v>106.32183908045977</v>
      </c>
    </row>
    <row r="17" spans="1:24" x14ac:dyDescent="0.2">
      <c r="A17" s="67" t="s">
        <v>216</v>
      </c>
      <c r="B17" s="2"/>
      <c r="C17" s="407">
        <f>C15*(1-B15)</f>
        <v>1.2000000000000002</v>
      </c>
      <c r="D17" s="2"/>
      <c r="E17" s="328"/>
      <c r="F17" s="2"/>
      <c r="H17" s="29"/>
      <c r="L17" s="331"/>
    </row>
    <row r="18" spans="1:24" x14ac:dyDescent="0.2">
      <c r="A18" s="229" t="s">
        <v>200</v>
      </c>
      <c r="B18" s="230"/>
      <c r="C18" s="226"/>
      <c r="D18" s="230"/>
      <c r="E18" s="341">
        <f>SUM(E14:E15)</f>
        <v>470</v>
      </c>
      <c r="F18" s="2"/>
    </row>
    <row r="19" spans="1:24" x14ac:dyDescent="0.2">
      <c r="A19" s="178" t="s">
        <v>40</v>
      </c>
      <c r="B19" s="179"/>
      <c r="C19" s="180"/>
      <c r="D19" s="179"/>
      <c r="E19" s="179"/>
      <c r="F19" s="181"/>
    </row>
    <row r="20" spans="1:24" ht="12" customHeight="1" x14ac:dyDescent="0.2">
      <c r="A20" s="25"/>
      <c r="B20" s="7"/>
      <c r="C20" s="5"/>
      <c r="D20" s="7"/>
      <c r="E20" s="7"/>
      <c r="F20" s="2"/>
    </row>
    <row r="21" spans="1:24" x14ac:dyDescent="0.2">
      <c r="A21" s="168" t="s">
        <v>4</v>
      </c>
      <c r="B21" s="144"/>
      <c r="C21" s="167"/>
      <c r="D21" s="167"/>
      <c r="E21" s="167"/>
      <c r="F21" s="146"/>
      <c r="M21" s="56"/>
      <c r="N21" s="56"/>
      <c r="O21" s="56"/>
      <c r="P21" s="56"/>
    </row>
    <row r="22" spans="1:24" ht="15" customHeight="1" x14ac:dyDescent="0.2">
      <c r="A22" s="152" t="s">
        <v>88</v>
      </c>
      <c r="B22" s="153"/>
      <c r="C22" s="154"/>
      <c r="D22" s="154"/>
      <c r="E22" s="154"/>
      <c r="F22" s="151"/>
      <c r="G22" s="42"/>
      <c r="H22" s="108"/>
      <c r="I22" s="42"/>
      <c r="J22" s="108"/>
      <c r="K22" s="42"/>
      <c r="M22" s="73"/>
      <c r="N22" s="56"/>
      <c r="O22" s="56"/>
      <c r="P22" s="56"/>
    </row>
    <row r="23" spans="1:24" x14ac:dyDescent="0.2">
      <c r="A23" s="53"/>
      <c r="B23" s="91" t="s">
        <v>238</v>
      </c>
      <c r="C23" s="91" t="s">
        <v>239</v>
      </c>
      <c r="D23" s="91" t="s">
        <v>240</v>
      </c>
      <c r="E23" s="91" t="s">
        <v>241</v>
      </c>
      <c r="F23" s="2"/>
      <c r="G23" s="109"/>
      <c r="H23" s="100"/>
      <c r="I23" s="42"/>
      <c r="J23" s="100"/>
      <c r="K23" s="108"/>
      <c r="M23" s="73"/>
      <c r="N23" s="56"/>
      <c r="O23" s="56"/>
      <c r="P23" s="56"/>
    </row>
    <row r="24" spans="1:24" x14ac:dyDescent="0.2">
      <c r="A24" s="61" t="s">
        <v>304</v>
      </c>
      <c r="B24" s="297"/>
      <c r="C24" s="124">
        <v>0</v>
      </c>
      <c r="D24" s="140">
        <v>0</v>
      </c>
      <c r="E24" s="342">
        <f>((D24/2000)*B24*C24)</f>
        <v>0</v>
      </c>
      <c r="F24" s="2"/>
      <c r="G24" s="89"/>
      <c r="H24" s="10"/>
      <c r="I24" s="116"/>
      <c r="J24" s="10"/>
      <c r="K24" s="42"/>
      <c r="M24" s="56"/>
      <c r="N24" s="56"/>
      <c r="O24" s="73"/>
      <c r="P24" s="73"/>
      <c r="Q24" s="73"/>
      <c r="R24" s="73"/>
      <c r="S24" s="56"/>
      <c r="T24" s="56"/>
      <c r="U24" s="56"/>
      <c r="V24" s="56"/>
      <c r="W24" s="56"/>
      <c r="X24" s="56"/>
    </row>
    <row r="25" spans="1:24" x14ac:dyDescent="0.2">
      <c r="A25" s="61"/>
      <c r="B25" s="63"/>
      <c r="C25" s="75"/>
      <c r="D25" s="17"/>
      <c r="E25" s="74"/>
      <c r="F25" s="2"/>
      <c r="G25" s="89"/>
      <c r="H25" s="10"/>
      <c r="I25" s="116"/>
      <c r="J25" s="10"/>
      <c r="K25" s="42"/>
      <c r="M25" s="56"/>
      <c r="N25" s="56"/>
      <c r="O25" s="73"/>
      <c r="P25" s="73"/>
      <c r="Q25" s="73"/>
      <c r="R25" s="73"/>
      <c r="S25" s="56"/>
      <c r="T25" s="56"/>
      <c r="U25" s="56"/>
      <c r="V25" s="56"/>
      <c r="W25" s="56"/>
      <c r="X25" s="56"/>
    </row>
    <row r="26" spans="1:24" x14ac:dyDescent="0.2">
      <c r="A26" s="53"/>
      <c r="C26" s="91" t="s">
        <v>87</v>
      </c>
      <c r="D26" s="91" t="s">
        <v>240</v>
      </c>
      <c r="E26" s="91" t="s">
        <v>241</v>
      </c>
      <c r="F26" s="2"/>
      <c r="G26" s="109"/>
      <c r="H26" s="100"/>
      <c r="I26" s="42"/>
      <c r="J26" s="100"/>
      <c r="K26" s="108"/>
      <c r="M26" s="73"/>
      <c r="N26" s="56"/>
      <c r="O26" s="56"/>
      <c r="P26" s="56"/>
    </row>
    <row r="27" spans="1:24" x14ac:dyDescent="0.2">
      <c r="A27" s="298" t="s">
        <v>172</v>
      </c>
      <c r="B27" s="7"/>
      <c r="C27" s="112">
        <v>100</v>
      </c>
      <c r="D27" s="140">
        <v>800</v>
      </c>
      <c r="E27" s="343">
        <f>C27*(D27/2000)</f>
        <v>40</v>
      </c>
      <c r="F27" s="2"/>
      <c r="G27" s="14"/>
      <c r="H27" s="3"/>
      <c r="I27" s="42"/>
      <c r="J27" s="90"/>
      <c r="K27" s="42"/>
    </row>
    <row r="28" spans="1:24" x14ac:dyDescent="0.2">
      <c r="A28" s="298" t="s">
        <v>66</v>
      </c>
      <c r="B28" s="7"/>
      <c r="C28" s="123"/>
      <c r="D28" s="140">
        <v>0</v>
      </c>
      <c r="E28" s="344">
        <f>C28*(D28/2000)</f>
        <v>0</v>
      </c>
      <c r="F28" s="2"/>
      <c r="G28" s="14"/>
      <c r="H28" s="3"/>
      <c r="I28" s="42"/>
      <c r="J28" s="90"/>
      <c r="K28" s="42"/>
    </row>
    <row r="29" spans="1:24" x14ac:dyDescent="0.2">
      <c r="A29" s="299" t="s">
        <v>66</v>
      </c>
      <c r="B29" s="7"/>
      <c r="C29" s="123"/>
      <c r="D29" s="281"/>
      <c r="E29" s="344">
        <f>C29*(D29/2000)</f>
        <v>0</v>
      </c>
      <c r="F29" s="2"/>
      <c r="G29" s="14"/>
      <c r="H29" s="3"/>
      <c r="I29" s="42"/>
      <c r="J29" s="90"/>
      <c r="K29" s="42"/>
    </row>
    <row r="30" spans="1:24" x14ac:dyDescent="0.2">
      <c r="A30" s="298"/>
      <c r="B30" s="11"/>
      <c r="C30" s="112"/>
      <c r="D30" s="140"/>
      <c r="E30" s="343">
        <f>C30*(D30/2000)</f>
        <v>0</v>
      </c>
      <c r="F30" s="2"/>
      <c r="G30" s="14"/>
      <c r="H30" s="3"/>
      <c r="I30" s="42"/>
      <c r="J30" s="90"/>
      <c r="K30" s="42"/>
    </row>
    <row r="31" spans="1:24" x14ac:dyDescent="0.2">
      <c r="A31" s="147"/>
      <c r="B31" s="148"/>
      <c r="C31" s="65"/>
      <c r="D31" s="169"/>
      <c r="E31" s="145"/>
      <c r="F31" s="2"/>
      <c r="G31" s="14"/>
      <c r="H31" s="3"/>
      <c r="I31" s="42"/>
      <c r="J31" s="90"/>
      <c r="K31" s="42"/>
    </row>
    <row r="32" spans="1:24" ht="14.25" customHeight="1" x14ac:dyDescent="0.2">
      <c r="A32" s="149" t="s">
        <v>135</v>
      </c>
      <c r="B32" s="150"/>
      <c r="C32" s="231"/>
      <c r="D32" s="232"/>
      <c r="E32" s="232"/>
      <c r="F32" s="151"/>
      <c r="G32" s="2"/>
      <c r="H32" s="2"/>
      <c r="I32" s="2"/>
      <c r="J32" s="2"/>
      <c r="K32" s="2"/>
      <c r="L32" s="56"/>
      <c r="M32" s="56"/>
      <c r="N32" s="56"/>
      <c r="O32" s="56"/>
      <c r="P32" s="56"/>
      <c r="Q32" s="56"/>
      <c r="R32" s="56"/>
      <c r="S32" s="56"/>
      <c r="T32" s="56"/>
    </row>
    <row r="33" spans="1:20" ht="14.25" customHeight="1" x14ac:dyDescent="0.2">
      <c r="A33" s="76" t="s">
        <v>305</v>
      </c>
      <c r="B33" s="2"/>
      <c r="C33" s="311" t="s">
        <v>68</v>
      </c>
      <c r="D33" s="310" t="s">
        <v>69</v>
      </c>
      <c r="E33" s="91" t="s">
        <v>241</v>
      </c>
      <c r="F33" s="2"/>
      <c r="G33" s="2"/>
      <c r="H33" s="2"/>
      <c r="I33" s="2"/>
      <c r="J33" s="2"/>
      <c r="K33" s="2"/>
      <c r="L33" s="56"/>
      <c r="M33" s="56"/>
      <c r="N33" s="56"/>
      <c r="O33" s="56"/>
      <c r="P33" s="56"/>
      <c r="Q33" s="56"/>
      <c r="R33" s="56"/>
      <c r="S33" s="56"/>
      <c r="T33" s="56"/>
    </row>
    <row r="34" spans="1:20" ht="14.25" customHeight="1" x14ac:dyDescent="0.2">
      <c r="A34" s="291" t="s">
        <v>14</v>
      </c>
      <c r="B34" s="251"/>
      <c r="C34" s="112">
        <v>0</v>
      </c>
      <c r="D34" s="140">
        <v>1.18</v>
      </c>
      <c r="E34" s="343">
        <f>C34*D34</f>
        <v>0</v>
      </c>
      <c r="F34" s="2"/>
      <c r="G34" s="2"/>
      <c r="H34" s="2"/>
      <c r="I34" s="2"/>
      <c r="J34" s="2"/>
      <c r="K34" s="2"/>
      <c r="L34" s="56"/>
      <c r="M34" s="56"/>
      <c r="N34" s="56"/>
      <c r="O34" s="56"/>
      <c r="P34" s="56"/>
      <c r="Q34" s="56"/>
      <c r="R34" s="56"/>
      <c r="S34" s="56"/>
      <c r="T34" s="56"/>
    </row>
    <row r="35" spans="1:20" ht="14.25" customHeight="1" x14ac:dyDescent="0.2">
      <c r="A35" s="312" t="s">
        <v>15</v>
      </c>
      <c r="B35" s="11"/>
      <c r="C35" s="112"/>
      <c r="D35" s="140"/>
      <c r="E35" s="343">
        <f t="shared" ref="E35:E37" si="0">C35*D35</f>
        <v>0</v>
      </c>
      <c r="F35" s="2"/>
      <c r="G35" s="2"/>
      <c r="H35" s="2"/>
      <c r="I35" s="2"/>
      <c r="J35" s="2"/>
      <c r="K35" s="2"/>
      <c r="L35" s="56"/>
      <c r="M35" s="56"/>
      <c r="N35" s="56"/>
      <c r="O35" s="56"/>
      <c r="P35" s="56"/>
      <c r="Q35" s="56"/>
      <c r="R35" s="56"/>
      <c r="S35" s="56"/>
      <c r="T35" s="56"/>
    </row>
    <row r="36" spans="1:20" ht="13.5" customHeight="1" x14ac:dyDescent="0.2">
      <c r="A36" s="312" t="s">
        <v>16</v>
      </c>
      <c r="B36" s="11"/>
      <c r="C36" s="112"/>
      <c r="D36" s="140"/>
      <c r="E36" s="343">
        <f t="shared" si="0"/>
        <v>0</v>
      </c>
      <c r="F36" s="2"/>
      <c r="G36" s="117"/>
      <c r="H36" s="118"/>
      <c r="I36" s="118"/>
      <c r="J36" s="99"/>
      <c r="K36" s="108"/>
      <c r="L36" s="108"/>
    </row>
    <row r="37" spans="1:20" ht="14.25" customHeight="1" x14ac:dyDescent="0.2">
      <c r="A37" s="313" t="s">
        <v>17</v>
      </c>
      <c r="B37" s="11"/>
      <c r="C37" s="112"/>
      <c r="D37" s="140"/>
      <c r="E37" s="344">
        <f t="shared" si="0"/>
        <v>0</v>
      </c>
      <c r="F37" s="2"/>
      <c r="G37" s="27"/>
      <c r="H37" s="10"/>
      <c r="I37" s="10"/>
      <c r="J37" s="10"/>
      <c r="K37" s="10"/>
      <c r="M37" s="56"/>
    </row>
    <row r="38" spans="1:20" ht="14.25" customHeight="1" x14ac:dyDescent="0.2">
      <c r="A38" s="289" t="s">
        <v>86</v>
      </c>
      <c r="B38" s="11"/>
      <c r="C38" s="65"/>
      <c r="D38" s="145"/>
      <c r="E38" s="300">
        <v>0</v>
      </c>
      <c r="F38" s="2"/>
      <c r="G38" s="27"/>
      <c r="H38" s="10"/>
      <c r="I38" s="10"/>
      <c r="J38" s="10"/>
      <c r="K38" s="10"/>
      <c r="M38" s="56"/>
    </row>
    <row r="39" spans="1:20" ht="14.25" customHeight="1" x14ac:dyDescent="0.2">
      <c r="A39" s="130" t="s">
        <v>136</v>
      </c>
      <c r="B39" s="129"/>
      <c r="C39" s="65"/>
      <c r="D39" s="145"/>
      <c r="E39" s="140">
        <v>0</v>
      </c>
      <c r="F39" s="2"/>
      <c r="G39" s="27"/>
      <c r="H39" s="10"/>
      <c r="I39" s="10"/>
      <c r="J39" s="10"/>
      <c r="K39" s="10"/>
      <c r="M39" s="56"/>
    </row>
    <row r="40" spans="1:20" ht="14.25" x14ac:dyDescent="0.25">
      <c r="A40" s="51"/>
      <c r="B40" s="11"/>
      <c r="C40" s="12" t="s">
        <v>194</v>
      </c>
      <c r="D40" s="318" t="s">
        <v>266</v>
      </c>
      <c r="E40" s="74"/>
      <c r="F40" s="2"/>
      <c r="G40" s="109"/>
      <c r="H40" s="13"/>
      <c r="I40" s="10"/>
      <c r="J40" s="13"/>
      <c r="K40" s="13"/>
      <c r="L40" s="42"/>
      <c r="M40" s="56"/>
    </row>
    <row r="41" spans="1:20" x14ac:dyDescent="0.2">
      <c r="A41" s="314" t="s">
        <v>193</v>
      </c>
      <c r="C41" s="112">
        <v>0</v>
      </c>
      <c r="D41" s="300"/>
      <c r="E41" s="345">
        <f t="shared" ref="E41" si="1">C41*D41</f>
        <v>0</v>
      </c>
      <c r="F41" s="2"/>
      <c r="G41" s="89"/>
      <c r="H41" s="10"/>
      <c r="I41" s="13"/>
      <c r="J41" s="13"/>
      <c r="K41" s="13"/>
      <c r="L41" s="42"/>
    </row>
    <row r="42" spans="1:20" ht="14.25" customHeight="1" x14ac:dyDescent="0.25">
      <c r="A42" s="61"/>
      <c r="B42" s="11"/>
      <c r="C42" s="310" t="s">
        <v>195</v>
      </c>
      <c r="D42" s="318" t="s">
        <v>265</v>
      </c>
      <c r="E42" s="74"/>
      <c r="F42" s="2"/>
      <c r="G42" s="14"/>
      <c r="H42" s="10"/>
      <c r="I42" s="13"/>
      <c r="J42" s="13"/>
      <c r="K42" s="100"/>
      <c r="L42" s="42"/>
      <c r="M42" s="56"/>
      <c r="N42" s="56"/>
      <c r="O42" s="56"/>
      <c r="P42" s="56"/>
      <c r="Q42" s="56"/>
    </row>
    <row r="43" spans="1:20" ht="14.25" customHeight="1" x14ac:dyDescent="0.2">
      <c r="A43" s="315" t="s">
        <v>13</v>
      </c>
      <c r="C43" s="112">
        <v>250</v>
      </c>
      <c r="D43" s="140">
        <v>0.71</v>
      </c>
      <c r="E43" s="343">
        <f>C43*D43</f>
        <v>177.5</v>
      </c>
      <c r="F43" s="2"/>
      <c r="G43" s="117"/>
      <c r="H43" s="118"/>
      <c r="I43" s="119"/>
      <c r="J43" s="119"/>
      <c r="K43" s="98"/>
      <c r="L43" s="99"/>
    </row>
    <row r="44" spans="1:20" ht="14.25" customHeight="1" x14ac:dyDescent="0.2">
      <c r="A44" s="6"/>
      <c r="B44" s="2"/>
      <c r="C44" s="19"/>
      <c r="D44" s="2"/>
      <c r="E44" s="2"/>
      <c r="F44" s="2"/>
      <c r="G44" s="14"/>
      <c r="H44" s="3"/>
      <c r="I44" s="3"/>
      <c r="J44" s="3"/>
      <c r="K44" s="3"/>
      <c r="L44" s="3"/>
    </row>
    <row r="45" spans="1:20" ht="14.25" customHeight="1" x14ac:dyDescent="0.2">
      <c r="A45" s="289" t="s">
        <v>133</v>
      </c>
      <c r="B45" s="11"/>
      <c r="C45" s="16"/>
      <c r="D45" s="17"/>
      <c r="E45" s="140">
        <v>0</v>
      </c>
      <c r="F45" s="2"/>
      <c r="G45" s="27"/>
      <c r="H45" s="10"/>
      <c r="I45" s="10"/>
      <c r="J45" s="10"/>
      <c r="K45" s="10"/>
      <c r="L45" s="10"/>
    </row>
    <row r="46" spans="1:20" ht="14.25" customHeight="1" x14ac:dyDescent="0.2">
      <c r="A46" s="238"/>
      <c r="B46" s="11"/>
      <c r="C46" s="16"/>
      <c r="D46" s="17"/>
      <c r="E46" s="156"/>
      <c r="F46" s="2"/>
      <c r="G46" s="27"/>
      <c r="H46" s="10"/>
      <c r="I46" s="10"/>
      <c r="J46" s="10"/>
      <c r="K46" s="10"/>
      <c r="L46" s="10"/>
    </row>
    <row r="47" spans="1:20" ht="14.25" customHeight="1" x14ac:dyDescent="0.2">
      <c r="A47" s="289" t="s">
        <v>7</v>
      </c>
      <c r="B47" s="11"/>
      <c r="C47" s="16"/>
      <c r="D47" s="17"/>
      <c r="E47" s="140">
        <v>0</v>
      </c>
      <c r="F47" s="2"/>
      <c r="G47" s="27"/>
      <c r="H47" s="10"/>
      <c r="I47" s="10"/>
      <c r="J47" s="10"/>
      <c r="K47" s="10"/>
      <c r="L47" s="10"/>
    </row>
    <row r="48" spans="1:20" ht="14.25" customHeight="1" x14ac:dyDescent="0.2">
      <c r="A48" s="289"/>
      <c r="B48" s="11"/>
      <c r="C48" s="16"/>
      <c r="D48" s="17"/>
      <c r="E48" s="140">
        <v>0</v>
      </c>
      <c r="F48" s="2"/>
      <c r="G48" s="27"/>
      <c r="H48" s="10"/>
      <c r="I48" s="10"/>
      <c r="J48" s="10"/>
      <c r="K48" s="10"/>
      <c r="L48" s="10"/>
    </row>
    <row r="49" spans="1:19" ht="14.25" customHeight="1" x14ac:dyDescent="0.2">
      <c r="A49" s="289"/>
      <c r="B49" s="11"/>
      <c r="C49" s="16"/>
      <c r="D49" s="17"/>
      <c r="E49" s="140">
        <v>0</v>
      </c>
      <c r="F49" s="2"/>
      <c r="G49" s="27"/>
      <c r="H49" s="10"/>
      <c r="I49" s="10"/>
      <c r="J49" s="10"/>
      <c r="K49" s="10"/>
      <c r="L49" s="10"/>
    </row>
    <row r="50" spans="1:19" ht="14.25" customHeight="1" x14ac:dyDescent="0.2">
      <c r="A50" s="52" t="s">
        <v>248</v>
      </c>
      <c r="B50" s="155"/>
      <c r="C50" s="316" t="s">
        <v>72</v>
      </c>
      <c r="D50" s="85" t="s">
        <v>256</v>
      </c>
      <c r="E50" s="17"/>
      <c r="F50" s="2"/>
      <c r="G50" s="27"/>
      <c r="H50" s="10"/>
      <c r="I50" s="10"/>
      <c r="J50" s="10"/>
      <c r="K50" s="10"/>
      <c r="L50" s="10"/>
    </row>
    <row r="51" spans="1:19" ht="14.25" customHeight="1" x14ac:dyDescent="0.2">
      <c r="A51" s="289" t="s">
        <v>89</v>
      </c>
      <c r="B51" s="20"/>
      <c r="C51" s="112">
        <v>1</v>
      </c>
      <c r="D51" s="140">
        <v>8</v>
      </c>
      <c r="E51" s="343">
        <f>D51*C51</f>
        <v>8</v>
      </c>
      <c r="F51" s="2"/>
      <c r="G51" s="27"/>
      <c r="H51" s="10"/>
      <c r="I51" s="10"/>
      <c r="J51" s="10"/>
      <c r="K51" s="10"/>
      <c r="L51" s="10"/>
    </row>
    <row r="52" spans="1:19" ht="14.25" customHeight="1" x14ac:dyDescent="0.2">
      <c r="A52" s="289"/>
      <c r="B52" s="20"/>
      <c r="C52" s="112"/>
      <c r="D52" s="140"/>
      <c r="E52" s="343">
        <f t="shared" ref="E52:E53" si="2">D52*C52</f>
        <v>0</v>
      </c>
      <c r="F52" s="2"/>
      <c r="G52" s="27"/>
      <c r="H52" s="10"/>
      <c r="I52" s="10"/>
      <c r="J52" s="10"/>
      <c r="K52" s="10"/>
      <c r="L52" s="10"/>
    </row>
    <row r="53" spans="1:19" ht="14.25" customHeight="1" x14ac:dyDescent="0.2">
      <c r="A53" s="289"/>
      <c r="B53" s="20"/>
      <c r="C53" s="112"/>
      <c r="D53" s="140"/>
      <c r="E53" s="343">
        <f t="shared" si="2"/>
        <v>0</v>
      </c>
      <c r="F53" s="2"/>
      <c r="G53" s="27"/>
      <c r="H53" s="10"/>
      <c r="I53" s="10"/>
      <c r="J53" s="10"/>
      <c r="K53" s="10"/>
      <c r="L53" s="10"/>
    </row>
    <row r="54" spans="1:19" ht="14.25" customHeight="1" x14ac:dyDescent="0.2">
      <c r="A54" s="52"/>
      <c r="B54" s="11"/>
      <c r="C54" s="16"/>
      <c r="D54" s="17"/>
      <c r="E54" s="17"/>
      <c r="F54" s="2"/>
      <c r="G54" s="27"/>
      <c r="H54" s="10"/>
      <c r="I54" s="10"/>
      <c r="J54" s="10"/>
      <c r="K54" s="10"/>
      <c r="L54" s="10"/>
    </row>
    <row r="55" spans="1:19" x14ac:dyDescent="0.2">
      <c r="A55" s="6"/>
      <c r="B55" s="12" t="s">
        <v>263</v>
      </c>
      <c r="C55" s="12" t="s">
        <v>264</v>
      </c>
      <c r="D55" s="85" t="s">
        <v>240</v>
      </c>
      <c r="E55" s="91" t="s">
        <v>241</v>
      </c>
      <c r="F55" s="2"/>
    </row>
    <row r="56" spans="1:19" x14ac:dyDescent="0.2">
      <c r="A56" s="11" t="s">
        <v>80</v>
      </c>
      <c r="B56" s="301">
        <v>3</v>
      </c>
      <c r="C56" s="113">
        <v>3</v>
      </c>
      <c r="D56" s="183">
        <v>29</v>
      </c>
      <c r="E56" s="343">
        <f>(D56*C56)/B56</f>
        <v>29</v>
      </c>
      <c r="F56" s="2"/>
      <c r="H56" s="126"/>
      <c r="I56" s="56"/>
      <c r="J56" s="56"/>
      <c r="K56" s="56"/>
      <c r="L56" s="56"/>
      <c r="M56" s="56"/>
      <c r="N56" s="56"/>
      <c r="O56" s="56"/>
      <c r="P56" s="56"/>
      <c r="Q56" s="56"/>
      <c r="R56" s="56"/>
      <c r="S56" s="56"/>
    </row>
    <row r="57" spans="1:19" x14ac:dyDescent="0.2">
      <c r="A57" s="31"/>
      <c r="B57" s="185"/>
      <c r="C57" s="184"/>
      <c r="D57" s="319" t="s">
        <v>241</v>
      </c>
      <c r="E57" s="156"/>
      <c r="F57" s="2"/>
      <c r="H57" s="126"/>
      <c r="I57" s="56"/>
      <c r="J57" s="56"/>
      <c r="K57" s="56"/>
      <c r="L57" s="56"/>
      <c r="M57" s="56"/>
      <c r="N57" s="56"/>
      <c r="O57" s="56"/>
      <c r="P57" s="56"/>
      <c r="Q57" s="56"/>
      <c r="R57" s="56"/>
      <c r="S57" s="56"/>
    </row>
    <row r="58" spans="1:19" x14ac:dyDescent="0.2">
      <c r="A58" s="252" t="s">
        <v>98</v>
      </c>
      <c r="B58" s="20"/>
      <c r="C58" s="182"/>
      <c r="D58" s="183">
        <v>34.5</v>
      </c>
      <c r="E58" s="343">
        <f>D58/B56</f>
        <v>11.5</v>
      </c>
      <c r="F58" s="2"/>
      <c r="H58" s="126"/>
      <c r="I58" s="56"/>
      <c r="J58" s="56"/>
      <c r="K58" s="56"/>
      <c r="L58" s="56"/>
      <c r="M58" s="56"/>
      <c r="N58" s="56"/>
      <c r="O58" s="56"/>
      <c r="P58" s="56"/>
      <c r="Q58" s="56"/>
      <c r="R58" s="56"/>
      <c r="S58" s="56"/>
    </row>
    <row r="59" spans="1:19" x14ac:dyDescent="0.2">
      <c r="A59" s="31"/>
      <c r="B59" s="133"/>
      <c r="C59" s="135"/>
      <c r="D59" s="3"/>
      <c r="E59" s="10"/>
      <c r="F59" s="2"/>
      <c r="H59" s="126"/>
      <c r="I59" s="56"/>
      <c r="J59" s="56"/>
      <c r="K59" s="56"/>
      <c r="L59" s="56"/>
      <c r="M59" s="56"/>
      <c r="N59" s="56"/>
      <c r="O59" s="56"/>
      <c r="P59" s="56"/>
      <c r="Q59" s="56"/>
      <c r="R59" s="56"/>
      <c r="S59" s="56"/>
    </row>
    <row r="60" spans="1:19" x14ac:dyDescent="0.2">
      <c r="A60" s="229" t="s">
        <v>198</v>
      </c>
      <c r="B60" s="230"/>
      <c r="C60" s="230"/>
      <c r="D60" s="230"/>
      <c r="E60" s="341">
        <f>SUM(E24:E59)</f>
        <v>266</v>
      </c>
      <c r="F60" s="2"/>
      <c r="G60" s="52"/>
      <c r="H60" s="52"/>
      <c r="I60" s="56"/>
      <c r="J60" s="56"/>
      <c r="K60" s="56"/>
      <c r="L60" s="56"/>
      <c r="M60" s="56"/>
      <c r="N60" s="56"/>
      <c r="O60" s="56"/>
      <c r="P60" s="56"/>
      <c r="Q60" s="56"/>
      <c r="R60" s="56"/>
      <c r="S60" s="56"/>
    </row>
    <row r="61" spans="1:19" x14ac:dyDescent="0.2">
      <c r="A61" s="166" t="s">
        <v>94</v>
      </c>
      <c r="B61" s="146"/>
      <c r="C61" s="146"/>
      <c r="D61" s="146"/>
      <c r="E61" s="146"/>
      <c r="F61" s="146"/>
      <c r="G61" s="52"/>
      <c r="H61" s="52"/>
      <c r="I61" s="56"/>
      <c r="J61" s="56"/>
      <c r="K61" s="56"/>
      <c r="L61" s="56"/>
      <c r="M61" s="56"/>
      <c r="N61" s="56"/>
      <c r="O61" s="56"/>
      <c r="P61" s="56"/>
      <c r="Q61" s="56"/>
      <c r="R61" s="56"/>
      <c r="S61" s="56"/>
    </row>
    <row r="62" spans="1:19" x14ac:dyDescent="0.2">
      <c r="A62" s="287" t="s">
        <v>183</v>
      </c>
      <c r="B62" s="101">
        <v>1</v>
      </c>
      <c r="C62" s="58"/>
      <c r="D62" s="58"/>
      <c r="E62" s="58"/>
      <c r="F62" s="58"/>
      <c r="G62" s="52"/>
      <c r="H62" s="52"/>
      <c r="I62" s="56"/>
      <c r="J62" s="56"/>
      <c r="K62" s="56"/>
      <c r="L62" s="56"/>
      <c r="M62" s="56"/>
      <c r="N62" s="56"/>
      <c r="O62" s="56"/>
      <c r="P62" s="56"/>
      <c r="Q62" s="56"/>
      <c r="R62" s="56"/>
      <c r="S62" s="56"/>
    </row>
    <row r="63" spans="1:19" x14ac:dyDescent="0.2">
      <c r="A63" s="26"/>
      <c r="B63" s="7"/>
      <c r="C63" s="317" t="s">
        <v>314</v>
      </c>
      <c r="D63" s="317" t="s">
        <v>315</v>
      </c>
      <c r="E63" s="91" t="s">
        <v>241</v>
      </c>
      <c r="F63" s="2"/>
      <c r="G63" s="52"/>
      <c r="H63" s="52"/>
      <c r="I63" s="56"/>
      <c r="J63" s="56"/>
      <c r="K63" s="56"/>
      <c r="L63" s="56"/>
      <c r="M63" s="56"/>
      <c r="N63" s="56"/>
      <c r="O63" s="56"/>
      <c r="P63" s="56"/>
      <c r="Q63" s="56"/>
      <c r="R63" s="56"/>
      <c r="S63" s="56"/>
    </row>
    <row r="64" spans="1:19" x14ac:dyDescent="0.2">
      <c r="A64" s="289" t="s">
        <v>173</v>
      </c>
      <c r="B64" s="63"/>
      <c r="C64" s="112">
        <v>15</v>
      </c>
      <c r="D64" s="254">
        <v>350</v>
      </c>
      <c r="E64" s="343">
        <f>((C64/50)*D64)/$B$62</f>
        <v>105</v>
      </c>
      <c r="F64" s="2"/>
      <c r="G64" s="53"/>
      <c r="H64" s="127"/>
      <c r="I64" s="58"/>
      <c r="J64" s="58"/>
      <c r="K64" s="58"/>
      <c r="L64" s="56"/>
      <c r="M64" s="56"/>
      <c r="N64" s="56"/>
      <c r="O64" s="56"/>
      <c r="P64" s="56"/>
      <c r="Q64" s="56"/>
      <c r="R64" s="56"/>
      <c r="S64" s="56"/>
    </row>
    <row r="65" spans="1:23" x14ac:dyDescent="0.2">
      <c r="A65" s="289" t="s">
        <v>175</v>
      </c>
      <c r="B65" s="63"/>
      <c r="C65" s="112"/>
      <c r="D65" s="254"/>
      <c r="E65" s="343">
        <f t="shared" ref="E65:E67" si="3">((C65/50)*D65)/$B$62</f>
        <v>0</v>
      </c>
      <c r="F65" s="2"/>
      <c r="G65" s="53"/>
      <c r="H65" s="127"/>
      <c r="I65" s="58"/>
      <c r="J65" s="58"/>
      <c r="K65" s="58"/>
      <c r="L65" s="56"/>
      <c r="M65" s="56"/>
      <c r="N65" s="56"/>
      <c r="O65" s="56"/>
      <c r="P65" s="56"/>
      <c r="Q65" s="56"/>
      <c r="R65" s="56"/>
      <c r="S65" s="56"/>
    </row>
    <row r="66" spans="1:23" x14ac:dyDescent="0.2">
      <c r="A66" s="289"/>
      <c r="B66" s="63"/>
      <c r="C66" s="112"/>
      <c r="D66" s="254"/>
      <c r="E66" s="343">
        <f t="shared" si="3"/>
        <v>0</v>
      </c>
      <c r="F66" s="2"/>
      <c r="G66" s="53"/>
      <c r="H66" s="127"/>
      <c r="I66" s="58"/>
      <c r="J66" s="58"/>
      <c r="K66" s="58"/>
      <c r="L66" s="56"/>
      <c r="M66" s="56"/>
      <c r="N66" s="56"/>
      <c r="O66" s="56"/>
      <c r="P66" s="56"/>
      <c r="Q66" s="56"/>
      <c r="R66" s="56"/>
      <c r="S66" s="56"/>
    </row>
    <row r="67" spans="1:23" x14ac:dyDescent="0.2">
      <c r="A67" s="101"/>
      <c r="B67" s="63"/>
      <c r="C67" s="112"/>
      <c r="D67" s="254"/>
      <c r="E67" s="343">
        <f t="shared" si="3"/>
        <v>0</v>
      </c>
      <c r="F67" s="2"/>
      <c r="G67" s="53"/>
      <c r="H67" s="127"/>
      <c r="I67" s="58"/>
      <c r="J67" s="58"/>
      <c r="K67" s="58"/>
      <c r="L67" s="56"/>
      <c r="M67" s="56"/>
      <c r="N67" s="56"/>
      <c r="O67" s="56"/>
      <c r="P67" s="56"/>
      <c r="Q67" s="56"/>
      <c r="R67" s="56"/>
      <c r="S67" s="56"/>
    </row>
    <row r="68" spans="1:23" x14ac:dyDescent="0.2">
      <c r="A68" s="27"/>
      <c r="B68" s="9"/>
      <c r="C68" s="310" t="s">
        <v>299</v>
      </c>
      <c r="D68" s="317" t="s">
        <v>236</v>
      </c>
      <c r="E68" s="91" t="s">
        <v>241</v>
      </c>
      <c r="F68" s="2"/>
      <c r="G68" s="56"/>
      <c r="H68" s="56"/>
      <c r="I68" s="58"/>
      <c r="J68" s="58"/>
      <c r="K68" s="58"/>
      <c r="L68" s="56"/>
      <c r="M68" s="56"/>
      <c r="N68" s="56"/>
      <c r="O68" s="56"/>
      <c r="P68" s="56"/>
      <c r="Q68" s="56"/>
      <c r="R68" s="56"/>
      <c r="S68" s="56"/>
      <c r="T68" s="56"/>
      <c r="U68" s="56"/>
      <c r="V68" s="56"/>
      <c r="W68" s="56"/>
    </row>
    <row r="69" spans="1:23" x14ac:dyDescent="0.2">
      <c r="A69" s="76" t="s">
        <v>174</v>
      </c>
      <c r="B69" s="77"/>
      <c r="C69" s="123">
        <v>2</v>
      </c>
      <c r="D69" s="255">
        <v>27.5</v>
      </c>
      <c r="E69" s="346">
        <f>D69*C69</f>
        <v>55</v>
      </c>
      <c r="F69" s="2"/>
      <c r="G69" s="56"/>
      <c r="H69" s="56"/>
      <c r="I69" s="58"/>
      <c r="J69" s="58"/>
      <c r="K69" s="58"/>
      <c r="L69" s="56"/>
      <c r="M69" s="56"/>
      <c r="N69" s="56"/>
      <c r="O69" s="56"/>
      <c r="P69" s="56"/>
      <c r="Q69" s="56"/>
      <c r="R69" s="56"/>
      <c r="S69" s="56"/>
      <c r="T69" s="56"/>
      <c r="U69" s="56"/>
      <c r="V69" s="56"/>
      <c r="W69" s="56"/>
    </row>
    <row r="70" spans="1:23" x14ac:dyDescent="0.2">
      <c r="A70" s="76" t="s">
        <v>81</v>
      </c>
      <c r="B70" s="77"/>
      <c r="C70" s="112"/>
      <c r="D70" s="254"/>
      <c r="E70" s="565">
        <f>D70*C70</f>
        <v>0</v>
      </c>
      <c r="F70" s="2"/>
      <c r="G70" s="56"/>
      <c r="H70" s="56"/>
      <c r="I70" s="58"/>
      <c r="J70" s="58"/>
      <c r="K70" s="58"/>
      <c r="L70" s="56"/>
      <c r="M70" s="56"/>
      <c r="N70" s="56"/>
      <c r="O70" s="56"/>
      <c r="P70" s="56"/>
      <c r="Q70" s="56"/>
      <c r="R70" s="56"/>
      <c r="S70" s="56"/>
      <c r="T70" s="56"/>
      <c r="U70" s="56"/>
      <c r="V70" s="56"/>
      <c r="W70" s="56"/>
    </row>
    <row r="71" spans="1:23" x14ac:dyDescent="0.2">
      <c r="A71" s="76"/>
      <c r="B71" s="77"/>
      <c r="C71" s="320" t="s">
        <v>261</v>
      </c>
      <c r="D71" s="332" t="s">
        <v>262</v>
      </c>
      <c r="E71" s="322" t="s">
        <v>241</v>
      </c>
      <c r="F71" s="2"/>
      <c r="G71" s="56"/>
      <c r="H71" s="56"/>
      <c r="I71" s="58"/>
      <c r="J71" s="58"/>
      <c r="K71" s="58"/>
      <c r="L71" s="56"/>
      <c r="M71" s="56"/>
      <c r="N71" s="56"/>
      <c r="O71" s="56"/>
      <c r="P71" s="56"/>
      <c r="Q71" s="56"/>
      <c r="R71" s="56"/>
      <c r="S71" s="56"/>
      <c r="T71" s="56"/>
      <c r="U71" s="56"/>
      <c r="V71" s="56"/>
      <c r="W71" s="56"/>
    </row>
    <row r="72" spans="1:23" x14ac:dyDescent="0.2">
      <c r="A72" s="76" t="s">
        <v>81</v>
      </c>
      <c r="B72" s="77"/>
      <c r="C72" s="112"/>
      <c r="D72" s="254"/>
      <c r="E72" s="565">
        <f>D72*C72</f>
        <v>0</v>
      </c>
      <c r="F72" s="2"/>
      <c r="G72" s="56"/>
      <c r="H72" s="56"/>
      <c r="I72" s="58"/>
      <c r="J72" s="58"/>
      <c r="K72" s="58"/>
      <c r="L72" s="56"/>
      <c r="M72" s="56"/>
      <c r="N72" s="56"/>
      <c r="O72" s="56"/>
      <c r="P72" s="56"/>
      <c r="Q72" s="56"/>
      <c r="R72" s="56"/>
      <c r="S72" s="56"/>
      <c r="T72" s="56"/>
      <c r="U72" s="56"/>
      <c r="V72" s="56"/>
      <c r="W72" s="56"/>
    </row>
    <row r="73" spans="1:23" x14ac:dyDescent="0.2">
      <c r="A73" s="215" t="s">
        <v>197</v>
      </c>
      <c r="B73" s="222"/>
      <c r="C73" s="227"/>
      <c r="D73" s="228"/>
      <c r="E73" s="347">
        <f>E64+E69+E70+E72</f>
        <v>160</v>
      </c>
      <c r="F73" s="2"/>
      <c r="G73" s="56"/>
      <c r="H73" s="56"/>
      <c r="I73" s="58"/>
      <c r="J73" s="58"/>
      <c r="K73" s="58"/>
      <c r="L73" s="56"/>
      <c r="M73" s="56"/>
      <c r="N73" s="56"/>
      <c r="O73" s="56"/>
      <c r="P73" s="56"/>
      <c r="Q73" s="56"/>
      <c r="R73" s="56"/>
      <c r="S73" s="56"/>
      <c r="T73" s="56"/>
      <c r="U73" s="56"/>
      <c r="V73" s="56"/>
      <c r="W73" s="56"/>
    </row>
    <row r="74" spans="1:23" x14ac:dyDescent="0.2">
      <c r="A74" s="164" t="s">
        <v>92</v>
      </c>
      <c r="B74" s="160"/>
      <c r="C74" s="161"/>
      <c r="D74" s="162"/>
      <c r="E74" s="214"/>
      <c r="F74" s="146"/>
      <c r="G74" s="58"/>
      <c r="H74" s="58"/>
      <c r="I74" s="58"/>
      <c r="J74" s="58"/>
      <c r="K74" s="58"/>
      <c r="L74" s="56"/>
      <c r="M74" s="56"/>
      <c r="N74" s="56"/>
      <c r="O74" s="56"/>
      <c r="P74" s="56"/>
      <c r="Q74" s="56"/>
      <c r="R74" s="56"/>
      <c r="S74" s="56"/>
    </row>
    <row r="75" spans="1:23" x14ac:dyDescent="0.2">
      <c r="A75" s="165" t="s">
        <v>2</v>
      </c>
      <c r="B75" s="7"/>
      <c r="C75" s="233"/>
      <c r="D75" s="131"/>
      <c r="E75" s="330" t="s">
        <v>67</v>
      </c>
      <c r="F75" s="2"/>
      <c r="G75" s="50"/>
      <c r="H75" s="128"/>
      <c r="I75" s="58"/>
      <c r="J75" s="58"/>
      <c r="K75" s="58"/>
      <c r="L75" s="56"/>
      <c r="M75" s="56"/>
      <c r="N75" s="56"/>
      <c r="O75" s="56"/>
      <c r="P75" s="56"/>
      <c r="Q75" s="56"/>
      <c r="R75" s="56"/>
      <c r="S75" s="56"/>
    </row>
    <row r="76" spans="1:23" x14ac:dyDescent="0.2">
      <c r="A76" s="252" t="s">
        <v>126</v>
      </c>
      <c r="B76" s="7"/>
      <c r="C76" s="233"/>
      <c r="D76" s="131"/>
      <c r="E76" s="307">
        <v>0</v>
      </c>
      <c r="F76" s="2"/>
      <c r="G76" s="50"/>
      <c r="H76" s="128"/>
      <c r="I76" s="58"/>
      <c r="J76" s="58"/>
      <c r="K76" s="58"/>
      <c r="L76" s="56"/>
      <c r="M76" s="56"/>
      <c r="N76" s="56"/>
      <c r="O76" s="56"/>
      <c r="P76" s="56"/>
      <c r="Q76" s="56"/>
      <c r="R76" s="56"/>
      <c r="S76" s="56"/>
    </row>
    <row r="77" spans="1:23" x14ac:dyDescent="0.2">
      <c r="A77" s="251" t="s">
        <v>99</v>
      </c>
      <c r="B77" s="7"/>
      <c r="C77" s="233"/>
      <c r="D77" s="131"/>
      <c r="E77" s="140">
        <v>0</v>
      </c>
      <c r="F77" s="2"/>
      <c r="G77" s="50"/>
      <c r="H77" s="128"/>
      <c r="I77" s="58"/>
      <c r="J77" s="58"/>
      <c r="K77" s="58"/>
      <c r="L77" s="56"/>
      <c r="M77" s="56"/>
      <c r="N77" s="56"/>
      <c r="O77" s="56"/>
      <c r="P77" s="56"/>
      <c r="Q77" s="56"/>
      <c r="R77" s="56"/>
      <c r="S77" s="56"/>
    </row>
    <row r="78" spans="1:23" x14ac:dyDescent="0.2">
      <c r="A78" s="252" t="s">
        <v>127</v>
      </c>
      <c r="B78" s="7"/>
      <c r="C78" s="16"/>
      <c r="D78" s="234"/>
      <c r="E78" s="140">
        <v>0</v>
      </c>
      <c r="F78" s="2"/>
      <c r="G78" s="50"/>
      <c r="H78" s="128"/>
      <c r="I78" s="58"/>
      <c r="J78" s="58"/>
      <c r="K78" s="58"/>
      <c r="L78" s="56"/>
      <c r="M78" s="56"/>
      <c r="N78" s="56"/>
      <c r="O78" s="56"/>
      <c r="P78" s="56"/>
      <c r="Q78" s="56"/>
      <c r="R78" s="56"/>
      <c r="S78" s="56"/>
    </row>
    <row r="79" spans="1:23" x14ac:dyDescent="0.2">
      <c r="A79" s="251" t="s">
        <v>99</v>
      </c>
      <c r="B79" s="7"/>
      <c r="C79" s="16"/>
      <c r="D79" s="234"/>
      <c r="E79" s="140">
        <v>0</v>
      </c>
      <c r="F79" s="2"/>
      <c r="G79" s="50"/>
      <c r="H79" s="128"/>
      <c r="I79" s="58"/>
      <c r="J79" s="58"/>
      <c r="K79" s="58"/>
      <c r="L79" s="56"/>
      <c r="M79" s="56"/>
      <c r="N79" s="56"/>
      <c r="O79" s="56"/>
      <c r="P79" s="56"/>
      <c r="Q79" s="56"/>
      <c r="R79" s="56"/>
      <c r="S79" s="56"/>
    </row>
    <row r="80" spans="1:23" x14ac:dyDescent="0.2">
      <c r="A80" s="252" t="s">
        <v>128</v>
      </c>
      <c r="B80" s="7"/>
      <c r="C80" s="16"/>
      <c r="D80" s="234"/>
      <c r="E80" s="140">
        <v>0</v>
      </c>
      <c r="F80" s="2"/>
      <c r="G80" s="50"/>
      <c r="H80" s="128"/>
      <c r="I80" s="58"/>
      <c r="J80" s="58"/>
      <c r="K80" s="58"/>
      <c r="L80" s="56"/>
      <c r="M80" s="56"/>
      <c r="N80" s="56"/>
      <c r="O80" s="56"/>
      <c r="P80" s="56"/>
      <c r="Q80" s="56"/>
      <c r="R80" s="56"/>
      <c r="S80" s="56"/>
    </row>
    <row r="81" spans="1:19" x14ac:dyDescent="0.2">
      <c r="A81" s="251" t="s">
        <v>99</v>
      </c>
      <c r="B81" s="7"/>
      <c r="C81" s="16"/>
      <c r="D81" s="234"/>
      <c r="E81" s="140">
        <v>0</v>
      </c>
      <c r="F81" s="2"/>
      <c r="G81" s="50"/>
      <c r="H81" s="128"/>
      <c r="I81" s="58"/>
      <c r="J81" s="58"/>
      <c r="K81" s="58"/>
      <c r="L81" s="56"/>
      <c r="M81" s="56"/>
      <c r="N81" s="56"/>
      <c r="O81" s="56"/>
      <c r="P81" s="56"/>
      <c r="Q81" s="56"/>
      <c r="R81" s="56"/>
      <c r="S81" s="56"/>
    </row>
    <row r="82" spans="1:19" x14ac:dyDescent="0.2">
      <c r="A82" s="212" t="s">
        <v>129</v>
      </c>
      <c r="B82" s="5"/>
      <c r="C82" s="65"/>
      <c r="D82" s="235"/>
      <c r="E82" s="140">
        <v>0</v>
      </c>
      <c r="F82" s="2"/>
      <c r="G82" s="49"/>
      <c r="H82" s="49"/>
      <c r="I82" s="58"/>
      <c r="J82" s="58"/>
      <c r="K82" s="58"/>
      <c r="L82" s="56"/>
      <c r="M82" s="56"/>
      <c r="N82" s="56"/>
      <c r="O82" s="56"/>
      <c r="P82" s="56"/>
      <c r="Q82" s="56"/>
      <c r="R82" s="56"/>
      <c r="S82" s="56"/>
    </row>
    <row r="83" spans="1:19" x14ac:dyDescent="0.2">
      <c r="A83" s="212" t="s">
        <v>99</v>
      </c>
      <c r="B83" s="5"/>
      <c r="C83" s="65"/>
      <c r="D83" s="235"/>
      <c r="E83" s="140">
        <v>0</v>
      </c>
      <c r="F83" s="2"/>
      <c r="G83" s="62"/>
      <c r="H83" s="62"/>
      <c r="I83" s="56"/>
      <c r="J83" s="56"/>
      <c r="K83" s="56"/>
      <c r="L83" s="56"/>
      <c r="M83" s="56"/>
      <c r="N83" s="56"/>
      <c r="O83" s="56"/>
      <c r="P83" s="56"/>
      <c r="Q83" s="56"/>
      <c r="R83" s="56"/>
      <c r="S83" s="56"/>
    </row>
    <row r="84" spans="1:19" x14ac:dyDescent="0.2">
      <c r="A84" s="165" t="s">
        <v>8</v>
      </c>
      <c r="B84" s="7"/>
      <c r="C84" s="16"/>
      <c r="D84" s="5"/>
      <c r="E84" s="254">
        <v>0</v>
      </c>
      <c r="F84" s="2"/>
      <c r="G84" s="2"/>
      <c r="H84" s="2"/>
      <c r="I84" s="2"/>
      <c r="J84" s="2"/>
      <c r="K84" s="2"/>
    </row>
    <row r="85" spans="1:19" x14ac:dyDescent="0.2">
      <c r="A85" s="251" t="s">
        <v>130</v>
      </c>
      <c r="B85" s="7"/>
      <c r="C85" s="16"/>
      <c r="D85" s="5"/>
      <c r="E85" s="254">
        <v>0</v>
      </c>
      <c r="F85" s="2"/>
      <c r="G85" s="2"/>
      <c r="H85" s="2"/>
      <c r="I85" s="2"/>
      <c r="J85" s="2"/>
      <c r="K85" s="2"/>
    </row>
    <row r="86" spans="1:19" x14ac:dyDescent="0.2">
      <c r="A86" s="251" t="s">
        <v>99</v>
      </c>
      <c r="B86" s="7"/>
      <c r="C86" s="16"/>
      <c r="D86" s="5"/>
      <c r="E86" s="254">
        <v>0</v>
      </c>
      <c r="F86" s="2"/>
      <c r="G86" s="2"/>
      <c r="H86" s="2"/>
      <c r="I86" s="2"/>
      <c r="J86" s="2"/>
      <c r="K86" s="2"/>
    </row>
    <row r="87" spans="1:19" x14ac:dyDescent="0.2">
      <c r="A87" s="59" t="s">
        <v>131</v>
      </c>
      <c r="B87" s="5"/>
      <c r="C87" s="65"/>
      <c r="D87" s="235"/>
      <c r="E87" s="140">
        <v>0</v>
      </c>
      <c r="F87" s="2"/>
      <c r="H87" s="58"/>
      <c r="I87" s="58"/>
      <c r="J87" s="58"/>
      <c r="K87" s="58"/>
      <c r="L87" s="56"/>
      <c r="M87" s="56"/>
      <c r="N87" s="56"/>
      <c r="O87" s="56"/>
    </row>
    <row r="88" spans="1:19" x14ac:dyDescent="0.2">
      <c r="A88" s="59" t="s">
        <v>99</v>
      </c>
      <c r="B88" s="5"/>
      <c r="C88" s="65"/>
      <c r="D88" s="235"/>
      <c r="E88" s="140">
        <v>0</v>
      </c>
      <c r="F88" s="2"/>
      <c r="G88" s="2"/>
      <c r="H88" s="58"/>
      <c r="I88" s="58"/>
      <c r="J88" s="58"/>
      <c r="K88" s="58"/>
      <c r="L88" s="56"/>
      <c r="M88" s="56"/>
      <c r="N88" s="56"/>
      <c r="O88" s="56"/>
    </row>
    <row r="89" spans="1:19" x14ac:dyDescent="0.2">
      <c r="A89" s="59" t="s">
        <v>131</v>
      </c>
      <c r="B89" s="5"/>
      <c r="C89" s="65"/>
      <c r="D89" s="235"/>
      <c r="E89" s="140">
        <v>0</v>
      </c>
      <c r="F89" s="2"/>
      <c r="G89" s="2"/>
      <c r="H89" s="58"/>
      <c r="I89" s="58"/>
      <c r="J89" s="58"/>
      <c r="K89" s="58"/>
      <c r="L89" s="56"/>
      <c r="M89" s="56"/>
      <c r="N89" s="56"/>
      <c r="O89" s="56"/>
    </row>
    <row r="90" spans="1:19" x14ac:dyDescent="0.2">
      <c r="A90" s="59" t="s">
        <v>99</v>
      </c>
      <c r="B90" s="5"/>
      <c r="C90" s="65"/>
      <c r="D90" s="235"/>
      <c r="E90" s="140">
        <v>0</v>
      </c>
      <c r="F90" s="2"/>
      <c r="G90" s="2"/>
      <c r="H90" s="58"/>
      <c r="I90" s="58"/>
      <c r="J90" s="58"/>
      <c r="K90" s="58"/>
      <c r="L90" s="56"/>
      <c r="M90" s="56"/>
      <c r="N90" s="56"/>
      <c r="O90" s="56"/>
    </row>
    <row r="91" spans="1:19" x14ac:dyDescent="0.2">
      <c r="A91" s="165" t="s">
        <v>12</v>
      </c>
      <c r="B91" s="7"/>
      <c r="C91" s="16"/>
      <c r="D91" s="5"/>
      <c r="E91" s="254">
        <v>0</v>
      </c>
      <c r="F91" s="2"/>
      <c r="G91" s="2"/>
      <c r="H91" s="58"/>
      <c r="I91" s="58"/>
      <c r="J91" s="58"/>
      <c r="K91" s="58"/>
      <c r="L91" s="56"/>
      <c r="M91" s="56"/>
      <c r="N91" s="56"/>
      <c r="O91" s="56"/>
    </row>
    <row r="92" spans="1:19" ht="13.5" customHeight="1" x14ac:dyDescent="0.2">
      <c r="A92" s="59" t="s">
        <v>176</v>
      </c>
      <c r="B92" s="5"/>
      <c r="C92" s="65"/>
      <c r="D92" s="235"/>
      <c r="E92" s="140">
        <v>0</v>
      </c>
      <c r="F92" s="2"/>
      <c r="G92" s="2"/>
      <c r="H92" s="62"/>
      <c r="I92" s="58"/>
      <c r="J92" s="58"/>
      <c r="K92" s="58"/>
      <c r="L92" s="56"/>
      <c r="M92" s="56"/>
      <c r="N92" s="56"/>
      <c r="O92" s="56"/>
    </row>
    <row r="93" spans="1:19" x14ac:dyDescent="0.2">
      <c r="A93" s="59" t="s">
        <v>99</v>
      </c>
      <c r="B93" s="5"/>
      <c r="C93" s="65"/>
      <c r="D93" s="235"/>
      <c r="E93" s="140">
        <v>0</v>
      </c>
      <c r="F93" s="2"/>
      <c r="G93" s="2"/>
      <c r="H93" s="58"/>
      <c r="I93" s="58"/>
      <c r="J93" s="58"/>
      <c r="K93" s="58"/>
      <c r="L93" s="56"/>
      <c r="M93" s="56"/>
      <c r="N93" s="56"/>
      <c r="O93" s="56"/>
    </row>
    <row r="94" spans="1:19" x14ac:dyDescent="0.2">
      <c r="A94" s="59" t="s">
        <v>177</v>
      </c>
      <c r="B94" s="5"/>
      <c r="C94" s="65"/>
      <c r="D94" s="235"/>
      <c r="E94" s="140">
        <v>0</v>
      </c>
      <c r="F94" s="2"/>
      <c r="G94" s="2"/>
      <c r="H94" s="58"/>
      <c r="I94" s="58"/>
      <c r="J94" s="58"/>
      <c r="K94" s="58"/>
      <c r="L94" s="56"/>
      <c r="M94" s="56"/>
      <c r="N94" s="56"/>
      <c r="O94" s="56"/>
    </row>
    <row r="95" spans="1:19" x14ac:dyDescent="0.2">
      <c r="A95" s="59" t="s">
        <v>99</v>
      </c>
      <c r="B95" s="5"/>
      <c r="C95" s="65"/>
      <c r="D95" s="235"/>
      <c r="E95" s="140">
        <v>0</v>
      </c>
      <c r="F95" s="2"/>
      <c r="G95" s="2"/>
      <c r="H95" s="58"/>
      <c r="I95" s="58"/>
      <c r="J95" s="58"/>
      <c r="K95" s="58"/>
      <c r="L95" s="56"/>
      <c r="M95" s="56"/>
      <c r="N95" s="56"/>
      <c r="O95" s="56"/>
    </row>
    <row r="96" spans="1:19" x14ac:dyDescent="0.2">
      <c r="A96" s="59" t="s">
        <v>178</v>
      </c>
      <c r="B96" s="5"/>
      <c r="C96" s="65"/>
      <c r="D96" s="235"/>
      <c r="E96" s="140">
        <v>0</v>
      </c>
      <c r="F96" s="2"/>
      <c r="G96" s="2"/>
      <c r="H96" s="58"/>
      <c r="I96" s="58"/>
      <c r="J96" s="58"/>
      <c r="K96" s="58"/>
      <c r="L96" s="56"/>
      <c r="M96" s="56"/>
      <c r="N96" s="56"/>
      <c r="O96" s="56"/>
    </row>
    <row r="97" spans="1:23" x14ac:dyDescent="0.2">
      <c r="A97" s="59" t="s">
        <v>99</v>
      </c>
      <c r="B97" s="5"/>
      <c r="C97" s="65"/>
      <c r="D97" s="235"/>
      <c r="E97" s="140">
        <v>0</v>
      </c>
      <c r="F97" s="2"/>
      <c r="G97" s="2"/>
      <c r="H97" s="58"/>
      <c r="I97" s="58"/>
      <c r="J97" s="58"/>
      <c r="K97" s="58"/>
      <c r="L97" s="56"/>
      <c r="M97" s="56"/>
      <c r="N97" s="56"/>
      <c r="O97" s="56"/>
    </row>
    <row r="98" spans="1:23" x14ac:dyDescent="0.2">
      <c r="A98" s="212" t="s">
        <v>30</v>
      </c>
      <c r="B98" s="5"/>
      <c r="C98" s="65"/>
      <c r="D98" s="235"/>
      <c r="E98" s="140">
        <v>0</v>
      </c>
      <c r="F98" s="2"/>
      <c r="G98" s="2"/>
      <c r="H98" s="58"/>
      <c r="I98" s="58"/>
      <c r="J98" s="58"/>
      <c r="K98" s="58"/>
      <c r="L98" s="56"/>
      <c r="M98" s="56"/>
      <c r="N98" s="56"/>
      <c r="O98" s="56"/>
      <c r="P98" s="56"/>
    </row>
    <row r="99" spans="1:23" x14ac:dyDescent="0.2">
      <c r="A99" s="212" t="s">
        <v>31</v>
      </c>
      <c r="B99" s="5"/>
      <c r="C99" s="65"/>
      <c r="D99" s="235"/>
      <c r="E99" s="140">
        <v>0</v>
      </c>
      <c r="F99" s="2"/>
      <c r="G99" s="2"/>
      <c r="H99" s="58"/>
      <c r="I99" s="58"/>
      <c r="J99" s="58"/>
      <c r="K99" s="58"/>
      <c r="L99" s="56"/>
      <c r="M99" s="56"/>
      <c r="N99" s="56"/>
      <c r="O99" s="56"/>
      <c r="P99" s="56"/>
    </row>
    <row r="100" spans="1:23" x14ac:dyDescent="0.2">
      <c r="A100" s="225" t="s">
        <v>199</v>
      </c>
      <c r="B100" s="226"/>
      <c r="C100" s="217"/>
      <c r="D100" s="236"/>
      <c r="E100" s="348">
        <f>SUM(E76:E99)</f>
        <v>0</v>
      </c>
      <c r="F100" s="2"/>
      <c r="G100" s="2"/>
      <c r="H100" s="58"/>
      <c r="I100" s="58"/>
      <c r="J100" s="58"/>
      <c r="K100" s="58"/>
      <c r="L100" s="56"/>
      <c r="M100" s="56"/>
      <c r="N100" s="56"/>
      <c r="O100" s="56"/>
      <c r="P100" s="56"/>
    </row>
    <row r="101" spans="1:23" x14ac:dyDescent="0.2">
      <c r="A101" s="196" t="s">
        <v>10</v>
      </c>
      <c r="B101" s="192"/>
      <c r="C101" s="193"/>
      <c r="D101" s="163"/>
      <c r="E101" s="194"/>
      <c r="F101" s="146"/>
      <c r="G101" s="2"/>
      <c r="H101" s="2"/>
      <c r="I101" s="2"/>
      <c r="J101" s="2"/>
      <c r="K101" s="2"/>
    </row>
    <row r="102" spans="1:23" x14ac:dyDescent="0.2">
      <c r="A102" s="213"/>
      <c r="B102" s="5"/>
      <c r="C102" s="16"/>
      <c r="D102" s="17"/>
      <c r="E102" s="91" t="s">
        <v>241</v>
      </c>
      <c r="F102" s="58"/>
      <c r="G102" s="2"/>
      <c r="H102" s="2"/>
      <c r="I102" s="2"/>
      <c r="J102" s="2"/>
      <c r="K102" s="2"/>
    </row>
    <row r="103" spans="1:23" x14ac:dyDescent="0.2">
      <c r="A103" s="212" t="s">
        <v>118</v>
      </c>
      <c r="B103" s="5"/>
      <c r="C103" s="65"/>
      <c r="D103" s="66"/>
      <c r="E103" s="140">
        <v>0</v>
      </c>
      <c r="F103" s="2"/>
      <c r="G103" s="2"/>
      <c r="H103" s="2"/>
      <c r="I103" s="2"/>
      <c r="J103" s="2"/>
      <c r="K103" s="2"/>
    </row>
    <row r="104" spans="1:23" x14ac:dyDescent="0.2">
      <c r="A104" s="212"/>
      <c r="B104" s="5"/>
      <c r="C104" s="320" t="s">
        <v>116</v>
      </c>
      <c r="D104" s="321" t="s">
        <v>258</v>
      </c>
      <c r="E104" s="91" t="s">
        <v>241</v>
      </c>
      <c r="F104" s="2"/>
      <c r="G104" s="2"/>
      <c r="H104" s="2"/>
      <c r="I104" s="2"/>
      <c r="J104" s="2"/>
      <c r="K104" s="2"/>
    </row>
    <row r="105" spans="1:23" x14ac:dyDescent="0.2">
      <c r="A105" s="29" t="s">
        <v>115</v>
      </c>
      <c r="B105" s="9"/>
      <c r="C105" s="219">
        <v>0</v>
      </c>
      <c r="D105" s="220">
        <v>5.5</v>
      </c>
      <c r="E105" s="344">
        <f>+C105*D105</f>
        <v>0</v>
      </c>
      <c r="F105" s="2"/>
      <c r="G105" s="2"/>
      <c r="H105" s="2"/>
      <c r="I105" s="2"/>
      <c r="J105" s="2"/>
      <c r="K105" s="2"/>
    </row>
    <row r="106" spans="1:23" x14ac:dyDescent="0.2">
      <c r="A106" s="221" t="s">
        <v>117</v>
      </c>
      <c r="B106" s="222"/>
      <c r="C106" s="223"/>
      <c r="D106" s="224"/>
      <c r="E106" s="348">
        <f>E105+E103</f>
        <v>0</v>
      </c>
      <c r="F106" s="2"/>
      <c r="G106" s="2"/>
      <c r="H106" s="2"/>
      <c r="I106" s="2"/>
      <c r="J106" s="2"/>
      <c r="K106" s="2"/>
    </row>
    <row r="107" spans="1:23" ht="15" x14ac:dyDescent="0.25">
      <c r="A107" s="164" t="s">
        <v>93</v>
      </c>
      <c r="B107" s="157"/>
      <c r="C107" s="158"/>
      <c r="D107" s="159"/>
      <c r="E107" s="159"/>
      <c r="F107" s="146"/>
      <c r="G107" s="56"/>
      <c r="H107" s="190"/>
      <c r="I107" s="58"/>
      <c r="J107" s="58"/>
      <c r="K107" s="58"/>
      <c r="L107" s="56"/>
      <c r="M107" s="56"/>
      <c r="N107" s="56"/>
      <c r="O107" s="56"/>
      <c r="P107" s="56"/>
      <c r="Q107" s="56"/>
      <c r="R107" s="56"/>
      <c r="S107" s="56"/>
      <c r="T107" s="56"/>
      <c r="U107" s="56"/>
      <c r="V107" s="56"/>
      <c r="W107" s="56"/>
    </row>
    <row r="108" spans="1:23" ht="13.5" customHeight="1" x14ac:dyDescent="0.2">
      <c r="A108" s="26"/>
      <c r="B108" s="7"/>
      <c r="C108" s="8"/>
      <c r="D108" s="132"/>
      <c r="E108" s="91" t="s">
        <v>241</v>
      </c>
      <c r="F108" s="2"/>
      <c r="H108" s="56"/>
      <c r="I108" s="56"/>
      <c r="J108" s="56"/>
      <c r="K108" s="56"/>
      <c r="L108" s="56"/>
      <c r="M108" s="56"/>
      <c r="N108" s="56"/>
      <c r="O108" s="56"/>
      <c r="P108" s="56"/>
      <c r="Q108" s="56"/>
      <c r="R108" s="56"/>
      <c r="S108" s="56"/>
    </row>
    <row r="109" spans="1:23" ht="13.5" customHeight="1" x14ac:dyDescent="0.2">
      <c r="A109" s="252" t="s">
        <v>233</v>
      </c>
      <c r="B109" s="7"/>
      <c r="C109" s="8"/>
      <c r="D109" s="132"/>
      <c r="E109" s="258">
        <v>185</v>
      </c>
      <c r="F109" s="2"/>
      <c r="H109" s="56"/>
      <c r="I109" s="56"/>
      <c r="J109" s="56"/>
      <c r="K109" s="56"/>
      <c r="L109" s="56"/>
      <c r="M109" s="56"/>
      <c r="N109" s="56"/>
      <c r="O109" s="56"/>
      <c r="P109" s="56"/>
      <c r="Q109" s="56"/>
      <c r="R109" s="56"/>
      <c r="S109" s="56"/>
    </row>
    <row r="110" spans="1:23" x14ac:dyDescent="0.2">
      <c r="A110" s="252" t="s">
        <v>28</v>
      </c>
      <c r="B110" s="7"/>
      <c r="C110" s="65"/>
      <c r="D110" s="66"/>
      <c r="E110" s="140">
        <v>30</v>
      </c>
      <c r="F110" s="2"/>
      <c r="G110" s="2"/>
      <c r="H110" s="58"/>
      <c r="I110" s="58"/>
      <c r="J110" s="58"/>
      <c r="K110" s="58"/>
      <c r="L110" s="56"/>
      <c r="M110" s="56"/>
      <c r="N110" s="56"/>
      <c r="O110" s="56"/>
      <c r="P110" s="56"/>
      <c r="Q110" s="56"/>
      <c r="R110" s="56"/>
      <c r="S110" s="56"/>
    </row>
    <row r="111" spans="1:23" x14ac:dyDescent="0.2">
      <c r="A111" s="252" t="s">
        <v>102</v>
      </c>
      <c r="B111" s="7"/>
      <c r="C111" s="65"/>
      <c r="D111" s="66"/>
      <c r="E111" s="140">
        <v>0</v>
      </c>
      <c r="F111" s="2"/>
      <c r="G111" s="2"/>
      <c r="H111" s="58"/>
      <c r="I111" s="58"/>
      <c r="J111" s="58"/>
      <c r="K111" s="58"/>
      <c r="L111" s="56"/>
      <c r="M111" s="56"/>
      <c r="N111" s="56"/>
      <c r="O111" s="56"/>
      <c r="P111" s="56"/>
      <c r="Q111" s="56"/>
      <c r="R111" s="56"/>
      <c r="S111" s="56"/>
    </row>
    <row r="112" spans="1:23" ht="15" x14ac:dyDescent="0.25">
      <c r="A112" s="252" t="s">
        <v>91</v>
      </c>
      <c r="B112" s="63" t="s">
        <v>234</v>
      </c>
      <c r="C112" s="65"/>
      <c r="D112" s="66"/>
      <c r="E112" s="140">
        <v>0</v>
      </c>
      <c r="F112" s="2"/>
      <c r="G112" s="2"/>
      <c r="H112" s="189"/>
      <c r="I112" s="13"/>
      <c r="J112" s="13"/>
      <c r="K112" s="13"/>
      <c r="L112" s="42"/>
      <c r="M112" s="42"/>
      <c r="N112" s="42"/>
      <c r="O112" s="42"/>
      <c r="P112" s="42"/>
      <c r="Q112" s="42"/>
      <c r="R112" s="42"/>
      <c r="S112" s="42"/>
    </row>
    <row r="113" spans="1:19" ht="15" x14ac:dyDescent="0.25">
      <c r="A113" s="252" t="s">
        <v>101</v>
      </c>
      <c r="B113" s="63"/>
      <c r="C113" s="65"/>
      <c r="D113" s="66"/>
      <c r="E113" s="281">
        <v>1.45</v>
      </c>
      <c r="F113" s="2"/>
      <c r="G113" s="2"/>
      <c r="H113" s="189"/>
      <c r="I113" s="13"/>
      <c r="J113" s="13"/>
      <c r="K113" s="13"/>
      <c r="L113" s="42"/>
      <c r="M113" s="42"/>
      <c r="N113" s="42"/>
      <c r="O113" s="42"/>
      <c r="P113" s="42"/>
      <c r="Q113" s="42"/>
      <c r="R113" s="42"/>
      <c r="S113" s="42"/>
    </row>
    <row r="114" spans="1:19" x14ac:dyDescent="0.2">
      <c r="A114" s="215" t="s">
        <v>120</v>
      </c>
      <c r="B114" s="216"/>
      <c r="C114" s="217"/>
      <c r="D114" s="218"/>
      <c r="E114" s="348">
        <f>SUM(E109:E113)</f>
        <v>216.45</v>
      </c>
      <c r="F114" s="2"/>
      <c r="G114" s="2"/>
      <c r="H114" s="58"/>
      <c r="I114" s="58"/>
      <c r="J114" s="58"/>
      <c r="K114" s="58"/>
      <c r="L114" s="56"/>
      <c r="M114" s="56"/>
      <c r="N114" s="56"/>
      <c r="O114" s="56"/>
      <c r="P114" s="56"/>
      <c r="Q114" s="56"/>
      <c r="R114" s="56"/>
      <c r="S114" s="56"/>
    </row>
    <row r="115" spans="1:19" x14ac:dyDescent="0.2">
      <c r="A115" s="144"/>
      <c r="B115" s="157"/>
      <c r="C115" s="202"/>
      <c r="D115" s="203"/>
      <c r="E115" s="198"/>
      <c r="F115" s="146"/>
      <c r="G115" s="2"/>
      <c r="H115" s="2"/>
      <c r="I115" s="2"/>
      <c r="J115" s="2"/>
      <c r="K115" s="2"/>
    </row>
    <row r="116" spans="1:19" x14ac:dyDescent="0.2">
      <c r="A116" s="394" t="s">
        <v>203</v>
      </c>
      <c r="B116" s="395"/>
      <c r="C116" s="396"/>
      <c r="D116" s="397"/>
      <c r="E116" s="348">
        <f>E60+E73+E100+E106+E114</f>
        <v>642.45000000000005</v>
      </c>
      <c r="F116" s="2"/>
      <c r="G116" s="2"/>
      <c r="H116" s="2"/>
      <c r="I116" s="2"/>
      <c r="J116" s="2"/>
      <c r="K116" s="2"/>
    </row>
    <row r="117" spans="1:19" x14ac:dyDescent="0.2">
      <c r="A117" s="22"/>
      <c r="B117" s="5"/>
      <c r="C117" s="16"/>
      <c r="D117" s="17"/>
      <c r="E117" s="186"/>
      <c r="F117" s="2"/>
      <c r="G117" s="2"/>
      <c r="H117" s="2"/>
      <c r="I117" s="2"/>
      <c r="J117" s="2"/>
      <c r="K117" s="2"/>
    </row>
    <row r="118" spans="1:19" x14ac:dyDescent="0.2">
      <c r="A118" s="195" t="s">
        <v>100</v>
      </c>
      <c r="B118" s="146"/>
      <c r="C118" s="187"/>
      <c r="D118" s="157"/>
      <c r="E118" s="146"/>
      <c r="F118" s="146"/>
    </row>
    <row r="119" spans="1:19" x14ac:dyDescent="0.2">
      <c r="A119" s="18" t="s">
        <v>121</v>
      </c>
      <c r="B119" s="2"/>
      <c r="C119" s="311" t="s">
        <v>257</v>
      </c>
      <c r="D119" s="323" t="s">
        <v>256</v>
      </c>
      <c r="E119" s="91" t="s">
        <v>241</v>
      </c>
      <c r="F119" s="2"/>
      <c r="Q119" s="87"/>
    </row>
    <row r="120" spans="1:19" x14ac:dyDescent="0.2">
      <c r="A120" s="289" t="s">
        <v>82</v>
      </c>
      <c r="B120" s="7"/>
      <c r="C120" s="112">
        <v>1</v>
      </c>
      <c r="D120" s="139">
        <v>20</v>
      </c>
      <c r="E120" s="339">
        <f>C120*D120</f>
        <v>20</v>
      </c>
      <c r="F120" s="2"/>
    </row>
    <row r="121" spans="1:19" x14ac:dyDescent="0.2">
      <c r="A121" s="289" t="s">
        <v>9</v>
      </c>
      <c r="B121" s="7"/>
      <c r="C121" s="112">
        <v>1</v>
      </c>
      <c r="D121" s="140">
        <v>17.5</v>
      </c>
      <c r="E121" s="339">
        <f t="shared" ref="E121:E128" si="4">C121*D121</f>
        <v>17.5</v>
      </c>
      <c r="F121" s="2"/>
    </row>
    <row r="122" spans="1:19" x14ac:dyDescent="0.2">
      <c r="A122" s="289" t="s">
        <v>328</v>
      </c>
      <c r="B122" s="7"/>
      <c r="C122" s="112">
        <v>1</v>
      </c>
      <c r="D122" s="140">
        <v>20</v>
      </c>
      <c r="E122" s="339">
        <f t="shared" si="4"/>
        <v>20</v>
      </c>
      <c r="F122" s="2"/>
    </row>
    <row r="123" spans="1:19" x14ac:dyDescent="0.2">
      <c r="A123" s="289"/>
      <c r="B123" s="7"/>
      <c r="C123" s="112"/>
      <c r="D123" s="140">
        <v>0</v>
      </c>
      <c r="E123" s="339">
        <f t="shared" si="4"/>
        <v>0</v>
      </c>
      <c r="F123" s="2"/>
    </row>
    <row r="124" spans="1:19" x14ac:dyDescent="0.2">
      <c r="A124" s="289"/>
      <c r="B124" s="7"/>
      <c r="C124" s="112"/>
      <c r="D124" s="140">
        <v>0</v>
      </c>
      <c r="E124" s="339">
        <f t="shared" si="4"/>
        <v>0</v>
      </c>
      <c r="F124" s="2"/>
    </row>
    <row r="125" spans="1:19" ht="14.25" customHeight="1" x14ac:dyDescent="0.2">
      <c r="A125" s="303" t="s">
        <v>108</v>
      </c>
      <c r="B125" s="7"/>
      <c r="C125" s="112">
        <v>0</v>
      </c>
      <c r="D125" s="140">
        <v>18</v>
      </c>
      <c r="E125" s="339">
        <f t="shared" si="4"/>
        <v>0</v>
      </c>
      <c r="F125" s="2"/>
    </row>
    <row r="126" spans="1:19" ht="14.25" customHeight="1" x14ac:dyDescent="0.2">
      <c r="A126" s="303"/>
      <c r="B126" s="7"/>
      <c r="C126" s="112"/>
      <c r="D126" s="140">
        <v>0</v>
      </c>
      <c r="E126" s="339">
        <v>0</v>
      </c>
      <c r="F126" s="2"/>
    </row>
    <row r="127" spans="1:19" ht="14.25" customHeight="1" x14ac:dyDescent="0.2">
      <c r="A127" s="303"/>
      <c r="B127" s="7"/>
      <c r="C127" s="112"/>
      <c r="D127" s="140">
        <v>0</v>
      </c>
      <c r="E127" s="339">
        <v>0</v>
      </c>
      <c r="F127" s="2"/>
    </row>
    <row r="128" spans="1:19" ht="12" customHeight="1" x14ac:dyDescent="0.2">
      <c r="A128" s="303"/>
      <c r="B128" s="5"/>
      <c r="C128" s="112"/>
      <c r="D128" s="140">
        <v>0</v>
      </c>
      <c r="E128" s="339">
        <f t="shared" si="4"/>
        <v>0</v>
      </c>
      <c r="F128" s="2"/>
    </row>
    <row r="129" spans="1:19" ht="12.75" customHeight="1" x14ac:dyDescent="0.2">
      <c r="A129" s="289"/>
      <c r="B129" s="399"/>
      <c r="C129" s="112"/>
      <c r="D129" s="140">
        <v>0</v>
      </c>
      <c r="E129" s="343">
        <f>C129*D129</f>
        <v>0</v>
      </c>
      <c r="F129" s="2"/>
    </row>
    <row r="130" spans="1:19" ht="12" customHeight="1" x14ac:dyDescent="0.2">
      <c r="A130" s="394" t="s">
        <v>184</v>
      </c>
      <c r="B130" s="395"/>
      <c r="C130" s="396"/>
      <c r="D130" s="398"/>
      <c r="E130" s="348">
        <f>SUM(E120:E129)</f>
        <v>57.5</v>
      </c>
      <c r="F130" s="2"/>
      <c r="H130" s="563"/>
    </row>
    <row r="131" spans="1:19" ht="12" customHeight="1" x14ac:dyDescent="0.2">
      <c r="A131" s="15"/>
      <c r="B131" s="5"/>
      <c r="C131" s="16"/>
      <c r="D131" s="5"/>
      <c r="E131" s="186"/>
      <c r="F131" s="2"/>
      <c r="H131" s="564"/>
      <c r="I131" s="563" t="s">
        <v>337</v>
      </c>
    </row>
    <row r="132" spans="1:19" ht="12.75" customHeight="1" x14ac:dyDescent="0.2">
      <c r="A132" s="22" t="s">
        <v>221</v>
      </c>
      <c r="B132" s="5"/>
      <c r="C132" s="310" t="s">
        <v>313</v>
      </c>
      <c r="D132" s="310" t="s">
        <v>256</v>
      </c>
      <c r="E132" s="91" t="s">
        <v>241</v>
      </c>
      <c r="F132" s="2"/>
      <c r="I132" s="564" t="s">
        <v>357</v>
      </c>
    </row>
    <row r="133" spans="1:19" ht="12.75" customHeight="1" x14ac:dyDescent="0.2">
      <c r="A133" s="285" t="s">
        <v>348</v>
      </c>
      <c r="B133" s="5"/>
      <c r="C133" s="112">
        <v>3</v>
      </c>
      <c r="D133" s="141">
        <v>17</v>
      </c>
      <c r="E133" s="343">
        <f>C133*D133</f>
        <v>51</v>
      </c>
      <c r="F133" s="2"/>
      <c r="H133" s="563"/>
    </row>
    <row r="134" spans="1:19" ht="12.75" customHeight="1" x14ac:dyDescent="0.2">
      <c r="A134" s="289" t="s">
        <v>349</v>
      </c>
      <c r="B134" s="63"/>
      <c r="C134" s="112">
        <v>3</v>
      </c>
      <c r="D134" s="141">
        <v>14</v>
      </c>
      <c r="E134" s="343">
        <f t="shared" ref="E134:E140" si="5">C134*D134</f>
        <v>42</v>
      </c>
      <c r="F134" s="2"/>
      <c r="H134" s="564"/>
      <c r="I134" s="563" t="s">
        <v>335</v>
      </c>
      <c r="S134" s="32"/>
    </row>
    <row r="135" spans="1:19" ht="12.75" customHeight="1" x14ac:dyDescent="0.2">
      <c r="A135" s="289" t="s">
        <v>350</v>
      </c>
      <c r="B135" s="7"/>
      <c r="C135" s="112">
        <v>3</v>
      </c>
      <c r="D135" s="141">
        <v>55</v>
      </c>
      <c r="E135" s="343">
        <f t="shared" si="5"/>
        <v>165</v>
      </c>
      <c r="F135" s="2"/>
      <c r="I135" s="564" t="s">
        <v>336</v>
      </c>
      <c r="S135" s="32"/>
    </row>
    <row r="136" spans="1:19" ht="12.75" customHeight="1" x14ac:dyDescent="0.2">
      <c r="A136" s="289"/>
      <c r="B136" s="63"/>
      <c r="C136" s="112"/>
      <c r="D136" s="141">
        <v>0</v>
      </c>
      <c r="E136" s="343">
        <f t="shared" si="5"/>
        <v>0</v>
      </c>
      <c r="F136" s="2"/>
      <c r="H136" s="563"/>
      <c r="I136" s="57" t="s">
        <v>359</v>
      </c>
      <c r="S136" s="32"/>
    </row>
    <row r="137" spans="1:19" ht="12.75" customHeight="1" x14ac:dyDescent="0.2">
      <c r="A137" s="289"/>
      <c r="B137" s="63"/>
      <c r="C137" s="112"/>
      <c r="D137" s="141">
        <v>0</v>
      </c>
      <c r="E137" s="343">
        <f t="shared" si="5"/>
        <v>0</v>
      </c>
      <c r="F137" s="2"/>
      <c r="H137" s="564"/>
      <c r="S137" s="32"/>
    </row>
    <row r="138" spans="1:19" ht="12.75" customHeight="1" x14ac:dyDescent="0.2">
      <c r="A138" s="289"/>
      <c r="B138" s="63"/>
      <c r="C138" s="112"/>
      <c r="D138" s="141">
        <v>0</v>
      </c>
      <c r="E138" s="343">
        <f t="shared" si="5"/>
        <v>0</v>
      </c>
      <c r="F138" s="2"/>
      <c r="I138" t="s">
        <v>360</v>
      </c>
      <c r="S138" s="32"/>
    </row>
    <row r="139" spans="1:19" ht="12.75" customHeight="1" x14ac:dyDescent="0.2">
      <c r="A139" s="289"/>
      <c r="B139" s="63"/>
      <c r="C139" s="112"/>
      <c r="D139" s="141">
        <v>0</v>
      </c>
      <c r="E139" s="343">
        <f t="shared" si="5"/>
        <v>0</v>
      </c>
      <c r="F139" s="2"/>
      <c r="H139" s="563"/>
      <c r="I139" s="564" t="s">
        <v>361</v>
      </c>
      <c r="S139" s="32"/>
    </row>
    <row r="140" spans="1:19" ht="12.75" customHeight="1" x14ac:dyDescent="0.2">
      <c r="A140" s="289"/>
      <c r="B140" s="402"/>
      <c r="C140" s="112"/>
      <c r="D140" s="140">
        <v>0</v>
      </c>
      <c r="E140" s="343">
        <f t="shared" si="5"/>
        <v>0</v>
      </c>
      <c r="F140" s="2"/>
      <c r="H140" s="564"/>
      <c r="S140" s="32"/>
    </row>
    <row r="141" spans="1:19" ht="12.75" customHeight="1" x14ac:dyDescent="0.2">
      <c r="A141" s="253" t="s">
        <v>222</v>
      </c>
      <c r="B141" s="404"/>
      <c r="C141" s="400"/>
      <c r="D141" s="405"/>
      <c r="E141" s="406">
        <f>SUM(E133:E140)</f>
        <v>258</v>
      </c>
      <c r="F141" s="2"/>
      <c r="I141" s="563" t="s">
        <v>338</v>
      </c>
      <c r="S141" s="32"/>
    </row>
    <row r="142" spans="1:19" ht="12.75" customHeight="1" x14ac:dyDescent="0.2">
      <c r="A142" s="185"/>
      <c r="B142" s="185"/>
      <c r="C142" s="65"/>
      <c r="D142" s="235"/>
      <c r="E142" s="145"/>
      <c r="F142" s="58"/>
      <c r="I142" s="564" t="s">
        <v>339</v>
      </c>
      <c r="S142" s="32"/>
    </row>
    <row r="143" spans="1:19" ht="12.75" customHeight="1" x14ac:dyDescent="0.2">
      <c r="A143" s="288" t="s">
        <v>272</v>
      </c>
      <c r="B143" s="324" t="s">
        <v>312</v>
      </c>
      <c r="C143" s="320" t="s">
        <v>269</v>
      </c>
      <c r="D143" s="321" t="s">
        <v>268</v>
      </c>
      <c r="E143" s="91" t="s">
        <v>241</v>
      </c>
      <c r="F143" s="2"/>
      <c r="S143" s="32"/>
    </row>
    <row r="144" spans="1:19" ht="12.75" customHeight="1" x14ac:dyDescent="0.2">
      <c r="A144" s="289"/>
      <c r="B144" s="297"/>
      <c r="C144" s="112"/>
      <c r="D144" s="140">
        <v>0</v>
      </c>
      <c r="E144" s="343">
        <f t="shared" ref="E144:E145" si="6">IFERROR((D144/C144)*B144,0)</f>
        <v>0</v>
      </c>
      <c r="F144" s="2"/>
      <c r="I144" s="563" t="s">
        <v>340</v>
      </c>
      <c r="S144" s="32"/>
    </row>
    <row r="145" spans="1:19" ht="12.75" customHeight="1" x14ac:dyDescent="0.2">
      <c r="A145" s="289"/>
      <c r="B145" s="297"/>
      <c r="C145" s="112"/>
      <c r="D145" s="141">
        <v>0</v>
      </c>
      <c r="E145" s="343">
        <f t="shared" si="6"/>
        <v>0</v>
      </c>
      <c r="F145" s="2"/>
      <c r="I145" s="564" t="s">
        <v>358</v>
      </c>
      <c r="S145" s="32"/>
    </row>
    <row r="146" spans="1:19" ht="12.75" customHeight="1" x14ac:dyDescent="0.2">
      <c r="A146" s="289"/>
      <c r="B146" s="297"/>
      <c r="C146" s="112"/>
      <c r="D146" s="141">
        <v>0</v>
      </c>
      <c r="E146" s="343">
        <f>IFERROR((D146/C146)*B146,0)</f>
        <v>0</v>
      </c>
      <c r="F146" s="2"/>
      <c r="S146" s="32"/>
    </row>
    <row r="147" spans="1:19" ht="12.75" customHeight="1" x14ac:dyDescent="0.2">
      <c r="A147" s="289"/>
      <c r="B147" s="297"/>
      <c r="C147" s="112"/>
      <c r="D147" s="141">
        <v>0</v>
      </c>
      <c r="E147" s="343">
        <f t="shared" ref="E147:E151" si="7">IFERROR((D147/C147)*B147,0)</f>
        <v>0</v>
      </c>
      <c r="F147" s="2"/>
      <c r="S147" s="32"/>
    </row>
    <row r="148" spans="1:19" ht="12.75" customHeight="1" x14ac:dyDescent="0.2">
      <c r="A148" s="289"/>
      <c r="B148" s="297"/>
      <c r="C148" s="112"/>
      <c r="D148" s="141">
        <v>0</v>
      </c>
      <c r="E148" s="343">
        <f t="shared" si="7"/>
        <v>0</v>
      </c>
      <c r="F148" s="2"/>
      <c r="S148" s="32"/>
    </row>
    <row r="149" spans="1:19" ht="12.75" customHeight="1" x14ac:dyDescent="0.2">
      <c r="A149" s="289"/>
      <c r="B149" s="297"/>
      <c r="C149" s="112"/>
      <c r="D149" s="141">
        <v>0</v>
      </c>
      <c r="E149" s="343">
        <f t="shared" si="7"/>
        <v>0</v>
      </c>
      <c r="F149" s="2"/>
      <c r="S149" s="32"/>
    </row>
    <row r="150" spans="1:19" ht="12.75" customHeight="1" x14ac:dyDescent="0.2">
      <c r="A150" s="326"/>
      <c r="B150" s="297"/>
      <c r="C150" s="123"/>
      <c r="D150" s="259">
        <v>0</v>
      </c>
      <c r="E150" s="343">
        <f t="shared" si="7"/>
        <v>0</v>
      </c>
      <c r="F150" s="2"/>
      <c r="S150" s="32"/>
    </row>
    <row r="151" spans="1:19" ht="12.75" customHeight="1" x14ac:dyDescent="0.2">
      <c r="A151" s="289"/>
      <c r="B151" s="297"/>
      <c r="C151" s="112"/>
      <c r="D151" s="140">
        <v>0</v>
      </c>
      <c r="E151" s="343">
        <f t="shared" si="7"/>
        <v>0</v>
      </c>
      <c r="F151" s="2"/>
      <c r="S151" s="32"/>
    </row>
    <row r="152" spans="1:19" ht="12.75" customHeight="1" x14ac:dyDescent="0.2">
      <c r="A152" s="411" t="s">
        <v>223</v>
      </c>
      <c r="B152" s="415"/>
      <c r="C152" s="413"/>
      <c r="D152" s="414"/>
      <c r="E152" s="348">
        <f>SUM(E144:E151)</f>
        <v>0</v>
      </c>
      <c r="F152" s="2"/>
      <c r="S152" s="32"/>
    </row>
    <row r="153" spans="1:19" s="42" customFormat="1" ht="12.75" customHeight="1" x14ac:dyDescent="0.2">
      <c r="A153" s="185"/>
      <c r="B153" s="185"/>
      <c r="C153" s="65"/>
      <c r="D153" s="235"/>
      <c r="E153" s="145"/>
      <c r="F153" s="13"/>
      <c r="S153" s="283"/>
    </row>
    <row r="154" spans="1:19" s="56" customFormat="1" ht="12.75" customHeight="1" x14ac:dyDescent="0.2">
      <c r="A154" s="359" t="s">
        <v>310</v>
      </c>
      <c r="B154" s="199"/>
      <c r="C154" s="320" t="s">
        <v>311</v>
      </c>
      <c r="D154" s="332" t="s">
        <v>302</v>
      </c>
      <c r="E154" s="145"/>
      <c r="F154" s="58"/>
      <c r="S154" s="200"/>
    </row>
    <row r="155" spans="1:19" ht="12.75" customHeight="1" x14ac:dyDescent="0.2">
      <c r="A155" s="289"/>
      <c r="B155" s="63"/>
      <c r="C155" s="112"/>
      <c r="D155" s="140">
        <v>0</v>
      </c>
      <c r="E155" s="343">
        <f>C155*D155</f>
        <v>0</v>
      </c>
      <c r="F155" s="2"/>
      <c r="S155" s="32"/>
    </row>
    <row r="156" spans="1:19" ht="12.75" customHeight="1" x14ac:dyDescent="0.2">
      <c r="A156" s="289"/>
      <c r="B156" s="63"/>
      <c r="C156" s="112"/>
      <c r="D156" s="141">
        <v>0</v>
      </c>
      <c r="E156" s="343">
        <f t="shared" ref="E156:E161" si="8">C156*D156</f>
        <v>0</v>
      </c>
      <c r="F156" s="2"/>
      <c r="S156" s="32"/>
    </row>
    <row r="157" spans="1:19" ht="12.75" customHeight="1" x14ac:dyDescent="0.2">
      <c r="A157" s="289"/>
      <c r="B157" s="63"/>
      <c r="C157" s="112"/>
      <c r="D157" s="141">
        <v>0</v>
      </c>
      <c r="E157" s="343">
        <f t="shared" si="8"/>
        <v>0</v>
      </c>
      <c r="F157" s="2"/>
      <c r="S157" s="32"/>
    </row>
    <row r="158" spans="1:19" ht="12.75" customHeight="1" x14ac:dyDescent="0.2">
      <c r="A158" s="289"/>
      <c r="B158" s="63"/>
      <c r="C158" s="112"/>
      <c r="D158" s="141">
        <v>0</v>
      </c>
      <c r="E158" s="343">
        <f t="shared" si="8"/>
        <v>0</v>
      </c>
      <c r="F158" s="2"/>
      <c r="S158" s="32"/>
    </row>
    <row r="159" spans="1:19" ht="12.75" customHeight="1" x14ac:dyDescent="0.2">
      <c r="A159" s="289"/>
      <c r="B159" s="63"/>
      <c r="C159" s="112"/>
      <c r="D159" s="141">
        <v>0</v>
      </c>
      <c r="E159" s="343">
        <f t="shared" si="8"/>
        <v>0</v>
      </c>
      <c r="F159" s="2"/>
      <c r="S159" s="32"/>
    </row>
    <row r="160" spans="1:19" ht="12.75" customHeight="1" x14ac:dyDescent="0.2">
      <c r="A160" s="289"/>
      <c r="B160" s="63"/>
      <c r="C160" s="112"/>
      <c r="D160" s="141">
        <v>0</v>
      </c>
      <c r="E160" s="343">
        <f t="shared" si="8"/>
        <v>0</v>
      </c>
      <c r="F160" s="2"/>
      <c r="S160" s="32"/>
    </row>
    <row r="161" spans="1:19" ht="12.75" customHeight="1" x14ac:dyDescent="0.2">
      <c r="A161" s="289"/>
      <c r="B161" s="402"/>
      <c r="C161" s="112"/>
      <c r="D161" s="140">
        <v>0</v>
      </c>
      <c r="E161" s="343">
        <f t="shared" si="8"/>
        <v>0</v>
      </c>
      <c r="F161" s="2"/>
      <c r="S161" s="32"/>
    </row>
    <row r="162" spans="1:19" ht="12.75" customHeight="1" x14ac:dyDescent="0.2">
      <c r="A162" s="410" t="s">
        <v>224</v>
      </c>
      <c r="B162" s="404"/>
      <c r="C162" s="400"/>
      <c r="D162" s="405"/>
      <c r="E162" s="348">
        <f>SUM(E155:E161)</f>
        <v>0</v>
      </c>
      <c r="F162" s="2"/>
      <c r="S162" s="32"/>
    </row>
    <row r="163" spans="1:19" s="42" customFormat="1" ht="12.75" customHeight="1" x14ac:dyDescent="0.2">
      <c r="A163" s="185"/>
      <c r="B163" s="185"/>
      <c r="C163" s="65"/>
      <c r="D163" s="235"/>
      <c r="E163" s="145"/>
      <c r="F163" s="13"/>
      <c r="S163" s="283"/>
    </row>
    <row r="164" spans="1:19" s="56" customFormat="1" ht="12.75" customHeight="1" x14ac:dyDescent="0.2">
      <c r="A164" s="359" t="s">
        <v>274</v>
      </c>
      <c r="B164" s="185"/>
      <c r="C164" s="320" t="s">
        <v>309</v>
      </c>
      <c r="D164" s="321" t="s">
        <v>240</v>
      </c>
      <c r="E164" s="145"/>
      <c r="F164" s="58"/>
      <c r="S164" s="200"/>
    </row>
    <row r="165" spans="1:19" ht="12.75" customHeight="1" x14ac:dyDescent="0.2">
      <c r="A165" s="289" t="s">
        <v>211</v>
      </c>
      <c r="B165" s="63"/>
      <c r="C165" s="112"/>
      <c r="D165" s="140">
        <v>0</v>
      </c>
      <c r="E165" s="343">
        <f>C165*D165</f>
        <v>0</v>
      </c>
      <c r="F165" s="2"/>
      <c r="S165" s="32"/>
    </row>
    <row r="166" spans="1:19" ht="12.75" customHeight="1" x14ac:dyDescent="0.2">
      <c r="A166" s="289"/>
      <c r="B166" s="63"/>
      <c r="C166" s="112"/>
      <c r="D166" s="140">
        <v>0</v>
      </c>
      <c r="E166" s="343">
        <f t="shared" ref="E166:E171" si="9">C166*D166</f>
        <v>0</v>
      </c>
      <c r="F166" s="2"/>
      <c r="S166" s="32"/>
    </row>
    <row r="167" spans="1:19" ht="12.75" customHeight="1" x14ac:dyDescent="0.2">
      <c r="A167" s="289"/>
      <c r="B167" s="63"/>
      <c r="C167" s="112"/>
      <c r="D167" s="140">
        <v>0</v>
      </c>
      <c r="E167" s="343">
        <f t="shared" si="9"/>
        <v>0</v>
      </c>
      <c r="F167" s="2"/>
      <c r="S167" s="32"/>
    </row>
    <row r="168" spans="1:19" ht="12.75" customHeight="1" x14ac:dyDescent="0.2">
      <c r="A168" s="289"/>
      <c r="B168" s="63"/>
      <c r="C168" s="112"/>
      <c r="D168" s="140">
        <v>0</v>
      </c>
      <c r="E168" s="343">
        <f t="shared" si="9"/>
        <v>0</v>
      </c>
      <c r="F168" s="2"/>
      <c r="S168" s="32"/>
    </row>
    <row r="169" spans="1:19" ht="12.75" customHeight="1" x14ac:dyDescent="0.2">
      <c r="A169" s="289"/>
      <c r="B169" s="63"/>
      <c r="C169" s="112"/>
      <c r="D169" s="140">
        <v>0</v>
      </c>
      <c r="E169" s="343">
        <f t="shared" si="9"/>
        <v>0</v>
      </c>
      <c r="F169" s="2"/>
      <c r="S169" s="32"/>
    </row>
    <row r="170" spans="1:19" ht="12.75" customHeight="1" x14ac:dyDescent="0.2">
      <c r="A170" s="326"/>
      <c r="B170" s="63"/>
      <c r="C170" s="112"/>
      <c r="D170" s="281">
        <v>0</v>
      </c>
      <c r="E170" s="344">
        <f t="shared" si="9"/>
        <v>0</v>
      </c>
      <c r="F170" s="2"/>
      <c r="S170" s="32"/>
    </row>
    <row r="171" spans="1:19" ht="12.75" customHeight="1" x14ac:dyDescent="0.2">
      <c r="A171" s="289"/>
      <c r="B171" s="402"/>
      <c r="C171" s="112"/>
      <c r="D171" s="140">
        <v>0</v>
      </c>
      <c r="E171" s="343">
        <f t="shared" si="9"/>
        <v>0</v>
      </c>
      <c r="F171" s="2"/>
      <c r="S171" s="32"/>
    </row>
    <row r="172" spans="1:19" ht="12.75" customHeight="1" x14ac:dyDescent="0.2">
      <c r="A172" s="411" t="s">
        <v>225</v>
      </c>
      <c r="B172" s="412"/>
      <c r="C172" s="413"/>
      <c r="D172" s="414"/>
      <c r="E172" s="348">
        <f>SUM(E165:E171)</f>
        <v>0</v>
      </c>
      <c r="F172" s="2"/>
      <c r="S172" s="32"/>
    </row>
    <row r="173" spans="1:19" s="56" customFormat="1" ht="12.75" customHeight="1" x14ac:dyDescent="0.2">
      <c r="A173" s="185"/>
      <c r="B173" s="185"/>
      <c r="C173" s="65"/>
      <c r="D173" s="235"/>
      <c r="E173" s="145"/>
      <c r="F173" s="13"/>
      <c r="S173" s="200"/>
    </row>
    <row r="174" spans="1:19" ht="12.75" customHeight="1" x14ac:dyDescent="0.2">
      <c r="A174" s="288" t="s">
        <v>34</v>
      </c>
      <c r="B174" s="324" t="s">
        <v>276</v>
      </c>
      <c r="C174" s="320" t="s">
        <v>124</v>
      </c>
      <c r="D174" s="333" t="s">
        <v>254</v>
      </c>
      <c r="E174" s="91" t="s">
        <v>241</v>
      </c>
      <c r="F174" s="58"/>
      <c r="S174" s="32"/>
    </row>
    <row r="175" spans="1:19" ht="12.75" customHeight="1" x14ac:dyDescent="0.2">
      <c r="A175" s="289" t="s">
        <v>134</v>
      </c>
      <c r="B175" s="297">
        <v>15</v>
      </c>
      <c r="C175" s="112">
        <v>0</v>
      </c>
      <c r="D175" s="115">
        <v>4</v>
      </c>
      <c r="E175" s="343">
        <f>((C175*D175)*((C14+C15)/B175))</f>
        <v>0</v>
      </c>
      <c r="F175" s="2"/>
      <c r="S175" s="32"/>
    </row>
    <row r="176" spans="1:19" ht="12.75" customHeight="1" x14ac:dyDescent="0.2">
      <c r="A176" s="326"/>
      <c r="B176" s="297">
        <v>10</v>
      </c>
      <c r="C176" s="123"/>
      <c r="D176" s="259"/>
      <c r="E176" s="344">
        <f>((C176*D176)*(C16/B176))</f>
        <v>0</v>
      </c>
      <c r="F176" s="2"/>
      <c r="S176" s="32"/>
    </row>
    <row r="177" spans="1:19" ht="12.75" customHeight="1" x14ac:dyDescent="0.2">
      <c r="A177" s="239" t="s">
        <v>123</v>
      </c>
      <c r="B177" s="237"/>
      <c r="C177" s="217"/>
      <c r="D177" s="218"/>
      <c r="E177" s="348">
        <f>E141+E152+E162+E172+E175+E176</f>
        <v>258</v>
      </c>
      <c r="F177" s="2"/>
      <c r="S177" s="32"/>
    </row>
    <row r="178" spans="1:19" ht="12.75" customHeight="1" x14ac:dyDescent="0.2">
      <c r="A178" s="164" t="s">
        <v>32</v>
      </c>
      <c r="B178" s="209"/>
      <c r="C178" s="161"/>
      <c r="D178" s="162"/>
      <c r="E178" s="163"/>
      <c r="F178" s="210"/>
      <c r="S178" s="32"/>
    </row>
    <row r="179" spans="1:19" ht="12.75" customHeight="1" x14ac:dyDescent="0.2">
      <c r="A179" s="185"/>
      <c r="B179" s="334" t="s">
        <v>180</v>
      </c>
      <c r="C179" s="334" t="s">
        <v>277</v>
      </c>
      <c r="D179" s="335" t="s">
        <v>278</v>
      </c>
      <c r="E179" s="91" t="s">
        <v>241</v>
      </c>
      <c r="F179" s="13"/>
      <c r="S179" s="32"/>
    </row>
    <row r="180" spans="1:19" ht="12.75" customHeight="1" x14ac:dyDescent="0.2">
      <c r="A180" s="289" t="s">
        <v>213</v>
      </c>
      <c r="B180" s="309">
        <v>1</v>
      </c>
      <c r="C180" s="257">
        <v>260</v>
      </c>
      <c r="D180" s="258">
        <v>1000</v>
      </c>
      <c r="E180" s="376">
        <f>IFERROR(((D180/C180)*($C$14+$C$15))*B180,0)</f>
        <v>21.153846153846153</v>
      </c>
      <c r="F180" s="13"/>
      <c r="S180" s="32"/>
    </row>
    <row r="181" spans="1:19" ht="12.75" customHeight="1" x14ac:dyDescent="0.25">
      <c r="A181" s="289" t="s">
        <v>212</v>
      </c>
      <c r="B181" s="309">
        <v>0</v>
      </c>
      <c r="C181" s="112">
        <v>400</v>
      </c>
      <c r="D181" s="140">
        <v>0</v>
      </c>
      <c r="E181" s="343">
        <f t="shared" ref="E181:E182" si="10">IFERROR(((D181/C181)*($C$14+$C$15))*B181,0)</f>
        <v>0</v>
      </c>
      <c r="F181" s="13"/>
      <c r="H181" s="273" t="s">
        <v>144</v>
      </c>
      <c r="I181" s="262"/>
      <c r="J181" s="262"/>
      <c r="K181" s="262"/>
      <c r="L181" s="263"/>
      <c r="M181" s="264"/>
      <c r="S181" s="32"/>
    </row>
    <row r="182" spans="1:19" ht="12.75" customHeight="1" x14ac:dyDescent="0.25">
      <c r="A182" s="289" t="s">
        <v>182</v>
      </c>
      <c r="B182" s="309"/>
      <c r="C182" s="112"/>
      <c r="D182" s="140"/>
      <c r="E182" s="343">
        <f t="shared" si="10"/>
        <v>0</v>
      </c>
      <c r="F182" s="13"/>
      <c r="H182" s="265" t="s">
        <v>145</v>
      </c>
      <c r="I182" s="266"/>
      <c r="J182" s="266"/>
      <c r="K182" s="267" t="s">
        <v>154</v>
      </c>
      <c r="L182" s="263"/>
      <c r="M182" s="264"/>
      <c r="S182" s="32"/>
    </row>
    <row r="183" spans="1:19" ht="12.75" customHeight="1" x14ac:dyDescent="0.25">
      <c r="A183" s="279"/>
      <c r="B183" s="185" t="s">
        <v>181</v>
      </c>
      <c r="C183" s="201" t="s">
        <v>280</v>
      </c>
      <c r="D183" s="409" t="s">
        <v>279</v>
      </c>
      <c r="E183" s="156"/>
      <c r="F183" s="13"/>
      <c r="H183" s="268" t="s">
        <v>146</v>
      </c>
      <c r="I183" s="266"/>
      <c r="J183" s="266"/>
      <c r="K183" s="266" t="s">
        <v>147</v>
      </c>
      <c r="L183" s="266"/>
      <c r="M183" s="269"/>
      <c r="S183" s="32"/>
    </row>
    <row r="184" spans="1:19" ht="12.75" customHeight="1" x14ac:dyDescent="0.25">
      <c r="A184" s="289" t="s">
        <v>179</v>
      </c>
      <c r="B184" s="297"/>
      <c r="C184" s="112"/>
      <c r="D184" s="140"/>
      <c r="E184" s="343">
        <f>IFERROR(((D184/C184)*($C$14+$C$15))*B184,0)</f>
        <v>0</v>
      </c>
      <c r="F184" s="13"/>
      <c r="H184" s="268" t="s">
        <v>148</v>
      </c>
      <c r="I184" s="266"/>
      <c r="J184" s="266"/>
      <c r="K184" s="266" t="s">
        <v>149</v>
      </c>
      <c r="L184" s="266"/>
      <c r="M184" s="269"/>
      <c r="S184" s="32"/>
    </row>
    <row r="185" spans="1:19" ht="12.75" customHeight="1" x14ac:dyDescent="0.25">
      <c r="A185" s="185"/>
      <c r="B185" s="185"/>
      <c r="C185" s="69"/>
      <c r="D185" s="321" t="s">
        <v>155</v>
      </c>
      <c r="E185" s="91" t="s">
        <v>241</v>
      </c>
      <c r="F185" s="13"/>
      <c r="H185" s="268" t="s">
        <v>150</v>
      </c>
      <c r="I185" s="266"/>
      <c r="J185" s="266"/>
      <c r="K185" s="266" t="s">
        <v>151</v>
      </c>
      <c r="L185" s="266"/>
      <c r="M185" s="269"/>
      <c r="S185" s="32"/>
    </row>
    <row r="186" spans="1:19" ht="12.75" customHeight="1" x14ac:dyDescent="0.25">
      <c r="A186" s="185" t="s">
        <v>214</v>
      </c>
      <c r="B186" s="274"/>
      <c r="C186" s="65"/>
      <c r="D186" s="276">
        <v>0.1</v>
      </c>
      <c r="E186" s="349">
        <f>(E18)*D186</f>
        <v>47</v>
      </c>
      <c r="F186" s="13"/>
      <c r="H186" s="270" t="s">
        <v>152</v>
      </c>
      <c r="I186" s="271"/>
      <c r="J186" s="271"/>
      <c r="K186" s="271" t="s">
        <v>153</v>
      </c>
      <c r="L186" s="271"/>
      <c r="M186" s="272"/>
      <c r="S186" s="32"/>
    </row>
    <row r="187" spans="1:19" s="56" customFormat="1" ht="12.75" customHeight="1" x14ac:dyDescent="0.2">
      <c r="A187" s="205" t="s">
        <v>104</v>
      </c>
      <c r="B187" s="160"/>
      <c r="C187" s="206"/>
      <c r="D187" s="207"/>
      <c r="E187" s="208"/>
      <c r="F187" s="146"/>
      <c r="H187" s="275" t="s">
        <v>156</v>
      </c>
      <c r="S187" s="200"/>
    </row>
    <row r="188" spans="1:19" ht="12.75" customHeight="1" x14ac:dyDescent="0.2">
      <c r="A188" s="185"/>
      <c r="B188" s="185"/>
      <c r="C188" s="320" t="s">
        <v>125</v>
      </c>
      <c r="D188" s="321" t="s">
        <v>105</v>
      </c>
      <c r="E188" s="85" t="s">
        <v>241</v>
      </c>
      <c r="F188" s="2"/>
      <c r="G188" s="29"/>
      <c r="S188" s="32"/>
    </row>
    <row r="189" spans="1:19" ht="12.75" customHeight="1" x14ac:dyDescent="0.2">
      <c r="A189" s="365" t="s">
        <v>45</v>
      </c>
      <c r="B189" s="366"/>
      <c r="C189" s="240">
        <v>1.5</v>
      </c>
      <c r="D189" s="140">
        <v>15</v>
      </c>
      <c r="E189" s="343">
        <f>C189*D189</f>
        <v>22.5</v>
      </c>
      <c r="F189" s="2"/>
      <c r="S189" s="32"/>
    </row>
    <row r="190" spans="1:19" ht="12.75" customHeight="1" x14ac:dyDescent="0.2">
      <c r="A190" s="185"/>
      <c r="B190" s="185"/>
      <c r="C190" s="65"/>
      <c r="D190" s="66"/>
      <c r="E190" s="17"/>
      <c r="F190" s="2"/>
      <c r="S190" s="32"/>
    </row>
    <row r="191" spans="1:19" ht="12.75" customHeight="1" x14ac:dyDescent="0.2">
      <c r="A191" s="209"/>
      <c r="B191" s="167"/>
      <c r="C191" s="161"/>
      <c r="D191" s="162"/>
      <c r="E191" s="211"/>
      <c r="F191" s="146"/>
    </row>
    <row r="192" spans="1:19" ht="12.75" customHeight="1" x14ac:dyDescent="0.2">
      <c r="A192" s="52" t="s">
        <v>113</v>
      </c>
      <c r="B192" s="2"/>
      <c r="C192" s="327">
        <v>5.1999999999999998E-2</v>
      </c>
      <c r="D192" s="2"/>
      <c r="E192" s="339">
        <f>(C192*0.67)*(E116+(0.2*E130))</f>
        <v>22.783618000000004</v>
      </c>
      <c r="F192" s="2"/>
      <c r="G192" s="136" t="s">
        <v>59</v>
      </c>
      <c r="H192" s="137"/>
      <c r="I192" s="137"/>
      <c r="J192" s="137"/>
      <c r="K192" s="137"/>
      <c r="L192" s="138"/>
    </row>
    <row r="193" spans="1:13" ht="12.75" customHeight="1" x14ac:dyDescent="0.2">
      <c r="A193" s="23"/>
      <c r="B193" s="2"/>
      <c r="C193" s="2"/>
      <c r="D193" s="2"/>
      <c r="E193" s="30"/>
      <c r="F193" s="2"/>
      <c r="G193" s="20"/>
      <c r="H193" s="20"/>
      <c r="I193" s="70"/>
      <c r="J193" s="70"/>
      <c r="K193" s="20"/>
      <c r="L193" s="70"/>
      <c r="M193" s="71"/>
    </row>
    <row r="194" spans="1:13" ht="12.75" customHeight="1" x14ac:dyDescent="0.2">
      <c r="A194" s="52" t="s">
        <v>85</v>
      </c>
      <c r="B194" s="68"/>
      <c r="C194" s="69"/>
      <c r="D194" s="66"/>
      <c r="E194" s="341">
        <f>E18*0.05</f>
        <v>23.5</v>
      </c>
      <c r="F194" s="58"/>
    </row>
    <row r="195" spans="1:13" ht="12.75" customHeight="1" x14ac:dyDescent="0.2">
      <c r="A195" s="67" t="s">
        <v>232</v>
      </c>
      <c r="B195" s="2"/>
      <c r="C195" s="24"/>
      <c r="E195" s="341">
        <f>E116+E130+E177+E180+E181+E182+E184+E189+E192</f>
        <v>1024.3874641538462</v>
      </c>
      <c r="F195" s="2"/>
    </row>
    <row r="196" spans="1:13" ht="12.75" customHeight="1" x14ac:dyDescent="0.2">
      <c r="A196" s="67" t="s">
        <v>231</v>
      </c>
      <c r="B196" s="2"/>
      <c r="C196" s="2"/>
      <c r="D196" s="24"/>
      <c r="E196" s="341">
        <f>E18-E195</f>
        <v>-554.38746415384617</v>
      </c>
      <c r="F196" s="2"/>
    </row>
    <row r="197" spans="1:13" ht="14.25" x14ac:dyDescent="0.2">
      <c r="A197" s="33"/>
      <c r="B197" s="2"/>
      <c r="C197" s="85"/>
      <c r="D197" s="85"/>
      <c r="E197" s="86"/>
    </row>
    <row r="198" spans="1:13" x14ac:dyDescent="0.2">
      <c r="A198" s="252" t="s">
        <v>219</v>
      </c>
      <c r="B198" s="7"/>
      <c r="C198" s="65"/>
      <c r="D198" s="84"/>
      <c r="E198" s="350">
        <f>E195/(C14+C15)</f>
        <v>186.25226620979021</v>
      </c>
    </row>
    <row r="199" spans="1:13" x14ac:dyDescent="0.2">
      <c r="A199" s="329" t="s">
        <v>220</v>
      </c>
      <c r="B199" s="7"/>
      <c r="C199" s="2"/>
      <c r="D199" s="2"/>
      <c r="E199" s="341">
        <f>E195/(C16+C17)</f>
        <v>418.11733230769227</v>
      </c>
    </row>
    <row r="200" spans="1:13" x14ac:dyDescent="0.2">
      <c r="A200" s="6"/>
      <c r="B200" s="7"/>
      <c r="C200" s="2"/>
      <c r="D200" s="2"/>
      <c r="E200" s="2"/>
    </row>
    <row r="201" spans="1:13" x14ac:dyDescent="0.2">
      <c r="C201" s="595" t="s">
        <v>26</v>
      </c>
      <c r="D201" s="596"/>
      <c r="E201" s="596"/>
      <c r="F201" s="596"/>
      <c r="G201" s="597"/>
    </row>
    <row r="202" spans="1:13" x14ac:dyDescent="0.2">
      <c r="C202" s="247"/>
      <c r="D202" s="248"/>
      <c r="E202" s="248"/>
      <c r="F202" s="248"/>
      <c r="G202" s="249"/>
    </row>
    <row r="203" spans="1:13" x14ac:dyDescent="0.2">
      <c r="C203" s="600" t="s">
        <v>18</v>
      </c>
      <c r="D203" s="601"/>
      <c r="E203" s="601"/>
      <c r="F203" s="601"/>
      <c r="G203" s="602"/>
    </row>
    <row r="204" spans="1:13" x14ac:dyDescent="0.2">
      <c r="A204" s="598" t="s">
        <v>24</v>
      </c>
      <c r="B204" s="599"/>
      <c r="C204" s="35"/>
      <c r="D204" s="35"/>
      <c r="E204" s="35"/>
      <c r="F204" s="36"/>
      <c r="G204" s="36"/>
    </row>
    <row r="205" spans="1:13" x14ac:dyDescent="0.2">
      <c r="A205" s="357" t="s">
        <v>27</v>
      </c>
      <c r="B205" s="358" t="s">
        <v>303</v>
      </c>
      <c r="C205" s="600" t="s">
        <v>26</v>
      </c>
      <c r="D205" s="601"/>
      <c r="E205" s="601"/>
      <c r="F205" s="601"/>
      <c r="G205" s="602"/>
    </row>
    <row r="206" spans="1:13" x14ac:dyDescent="0.2">
      <c r="A206" s="38" t="s">
        <v>21</v>
      </c>
      <c r="B206" s="39">
        <f>C14*1.2</f>
        <v>3</v>
      </c>
      <c r="C206" s="40">
        <f>(C$211*$B206)-$E$195</f>
        <v>-760.38746415384617</v>
      </c>
      <c r="D206" s="40">
        <f>(D$211*B206)-$E$195</f>
        <v>-727.38746415384617</v>
      </c>
      <c r="E206" s="40">
        <f>(E$211*$B206)-E$195</f>
        <v>-694.38746415384617</v>
      </c>
      <c r="F206" s="41">
        <f>(F$211*$B206)-E$195</f>
        <v>-661.38746415384617</v>
      </c>
      <c r="G206" s="41">
        <f>(G$211*B206)-E$195</f>
        <v>-628.38746415384617</v>
      </c>
    </row>
    <row r="207" spans="1:13" x14ac:dyDescent="0.2">
      <c r="A207" s="38" t="s">
        <v>20</v>
      </c>
      <c r="B207" s="39">
        <f>C14*1.1</f>
        <v>2.75</v>
      </c>
      <c r="C207" s="40">
        <f>(C$211*B207)-$E$195</f>
        <v>-782.38746415384617</v>
      </c>
      <c r="D207" s="40">
        <f>(D$211*B207)-$E$195</f>
        <v>-752.13746415384617</v>
      </c>
      <c r="E207" s="40">
        <f>(E$211*$B207)-E$195</f>
        <v>-721.88746415384617</v>
      </c>
      <c r="F207" s="41">
        <f>(F$211*$B207)-E$195</f>
        <v>-691.63746415384617</v>
      </c>
      <c r="G207" s="41">
        <f>(G$211*B207)-E$195</f>
        <v>-661.38746415384617</v>
      </c>
    </row>
    <row r="208" spans="1:13" x14ac:dyDescent="0.2">
      <c r="A208" s="250"/>
      <c r="B208" s="39">
        <f>C14</f>
        <v>2.5</v>
      </c>
      <c r="C208" s="40">
        <f>(C$211*B208)-$E$195</f>
        <v>-804.38746415384617</v>
      </c>
      <c r="D208" s="40">
        <f>(D$211*B208)-$E$195</f>
        <v>-776.88746415384617</v>
      </c>
      <c r="E208" s="43">
        <f>(E$211*$B208)-E$195</f>
        <v>-749.38746415384617</v>
      </c>
      <c r="F208" s="41">
        <f>(F$211*$B208)-E$195</f>
        <v>-721.88746415384617</v>
      </c>
      <c r="G208" s="41">
        <f>(G$211*B208)-E$195</f>
        <v>-694.38746415384617</v>
      </c>
    </row>
    <row r="209" spans="1:7" x14ac:dyDescent="0.2">
      <c r="A209" s="38" t="s">
        <v>22</v>
      </c>
      <c r="B209" s="39">
        <f>C14*0.9</f>
        <v>2.25</v>
      </c>
      <c r="C209" s="40">
        <f>(C$211*B209)-$E$195</f>
        <v>-826.38746415384617</v>
      </c>
      <c r="D209" s="40">
        <f>(D$211*B209)-$E$195</f>
        <v>-801.63746415384617</v>
      </c>
      <c r="E209" s="40">
        <f>(E$211*$B209)-E$195</f>
        <v>-776.88746415384617</v>
      </c>
      <c r="F209" s="41">
        <f>(F$211*$B209)-E$195</f>
        <v>-752.13746415384617</v>
      </c>
      <c r="G209" s="41">
        <f>(G$211*B209)-E$195</f>
        <v>-727.38746415384617</v>
      </c>
    </row>
    <row r="210" spans="1:7" x14ac:dyDescent="0.2">
      <c r="A210" s="38" t="s">
        <v>23</v>
      </c>
      <c r="B210" s="39">
        <f>C14*0.8</f>
        <v>2</v>
      </c>
      <c r="C210" s="40">
        <f>(C$211*B210)-$E$195</f>
        <v>-848.38746415384617</v>
      </c>
      <c r="D210" s="40">
        <f>(D$211*B210)-$E$195</f>
        <v>-826.38746415384617</v>
      </c>
      <c r="E210" s="40">
        <f>(E$211*$B210)-E$195</f>
        <v>-804.38746415384617</v>
      </c>
      <c r="F210" s="41">
        <f>(F$211*$B210)-E$195</f>
        <v>-782.38746415384617</v>
      </c>
      <c r="G210" s="41">
        <f>(G$211*B210)-E$195</f>
        <v>-760.38746415384617</v>
      </c>
    </row>
    <row r="211" spans="1:7" x14ac:dyDescent="0.2">
      <c r="A211" s="356" t="s">
        <v>25</v>
      </c>
      <c r="B211" s="351"/>
      <c r="C211" s="352">
        <f>D14*0.8</f>
        <v>88</v>
      </c>
      <c r="D211" s="352">
        <f>D14*0.9</f>
        <v>99</v>
      </c>
      <c r="E211" s="352">
        <f>D14</f>
        <v>110</v>
      </c>
      <c r="F211" s="352">
        <f>D14*1.1</f>
        <v>121.00000000000001</v>
      </c>
      <c r="G211" s="352">
        <f>D14*1.2</f>
        <v>132</v>
      </c>
    </row>
    <row r="212" spans="1:7" x14ac:dyDescent="0.2">
      <c r="A212" s="356" t="s">
        <v>19</v>
      </c>
      <c r="B212" s="351"/>
      <c r="C212" s="353" t="s">
        <v>23</v>
      </c>
      <c r="D212" s="353" t="s">
        <v>22</v>
      </c>
      <c r="E212" s="354"/>
      <c r="F212" s="353" t="s">
        <v>20</v>
      </c>
      <c r="G212" s="355" t="s">
        <v>21</v>
      </c>
    </row>
  </sheetData>
  <sheetProtection algorithmName="SHA-512" hashValue="dedKVD/kBk90YsPYYyIskrbNLpwzesKACVWisSekgthTfCl1XhXjfgAEs6DMZfsK1mHhNmOJvbhtwjpBVAxKcQ==" saltValue="7oDpXFSVy9bnwiwy0gbluA==" spinCount="100000" sheet="1" objects="1" scenarios="1"/>
  <mergeCells count="4">
    <mergeCell ref="C201:G201"/>
    <mergeCell ref="C203:G203"/>
    <mergeCell ref="A204:B204"/>
    <mergeCell ref="C205:G205"/>
  </mergeCells>
  <hyperlinks>
    <hyperlink ref="I135" r:id="rId1" xr:uid="{4FC0AFE8-6FFF-4563-B9CE-DCFD117EF92C}"/>
    <hyperlink ref="I142" r:id="rId2" xr:uid="{8B82D821-71F5-466C-BB31-858B551E30B8}"/>
    <hyperlink ref="I136" r:id="rId3" xr:uid="{70658C9E-FBC1-4A6D-9516-F565E5A27197}"/>
    <hyperlink ref="I139" r:id="rId4" xr:uid="{53367E9A-20BF-4DAE-93EE-F1566D2B31F5}"/>
  </hyperlinks>
  <pageMargins left="0.7" right="0.7" top="0.75" bottom="0.75" header="0.3" footer="0.3"/>
  <pageSetup scale="39" fitToHeight="0" orientation="portrait" verticalDpi="120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X212"/>
  <sheetViews>
    <sheetView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9" t="s">
        <v>29</v>
      </c>
      <c r="E1" s="57"/>
    </row>
    <row r="2" spans="1:14" ht="8.25" customHeight="1" x14ac:dyDescent="0.2"/>
    <row r="3" spans="1:14" ht="15" customHeight="1" x14ac:dyDescent="0.2"/>
    <row r="4" spans="1:14" ht="8.25" customHeight="1" x14ac:dyDescent="0.2"/>
    <row r="5" spans="1:14" ht="18.75" customHeight="1" x14ac:dyDescent="0.25">
      <c r="A5" s="4" t="s">
        <v>329</v>
      </c>
      <c r="B5" s="2"/>
      <c r="D5" s="28"/>
      <c r="E5" s="286"/>
      <c r="F5" s="2"/>
      <c r="G5" s="2"/>
      <c r="H5" s="2"/>
      <c r="I5" s="2"/>
      <c r="J5" s="2"/>
      <c r="K5" s="2"/>
    </row>
    <row r="6" spans="1:14" ht="5.25" customHeight="1" x14ac:dyDescent="0.2">
      <c r="A6" s="2"/>
      <c r="B6" s="2"/>
      <c r="C6" s="2"/>
      <c r="D6" s="2"/>
      <c r="E6" s="2"/>
      <c r="F6" s="2"/>
      <c r="G6" s="2"/>
      <c r="H6" s="2"/>
      <c r="I6" s="2"/>
      <c r="J6" s="2"/>
      <c r="K6" s="2"/>
    </row>
    <row r="7" spans="1:14" x14ac:dyDescent="0.2">
      <c r="A7" s="44" t="s">
        <v>83</v>
      </c>
      <c r="B7" s="2"/>
      <c r="D7" s="2"/>
      <c r="E7" s="111"/>
      <c r="F7" s="2"/>
      <c r="G7" s="2"/>
      <c r="H7" s="2"/>
      <c r="I7" s="60"/>
      <c r="J7" s="2"/>
      <c r="K7" s="2"/>
    </row>
    <row r="8" spans="1:14" x14ac:dyDescent="0.2">
      <c r="A8" s="44" t="s">
        <v>229</v>
      </c>
      <c r="B8" s="2"/>
      <c r="D8" s="2"/>
      <c r="E8" s="340"/>
      <c r="F8" s="2"/>
      <c r="G8" s="2"/>
      <c r="H8" s="2"/>
      <c r="I8" s="2"/>
      <c r="J8" s="2"/>
      <c r="K8" s="2"/>
    </row>
    <row r="9" spans="1:14" x14ac:dyDescent="0.2">
      <c r="A9" s="44" t="s">
        <v>71</v>
      </c>
      <c r="B9" s="2"/>
      <c r="D9" s="2"/>
      <c r="E9" s="125"/>
      <c r="F9" s="2"/>
      <c r="G9" s="2"/>
      <c r="H9" s="2"/>
      <c r="I9" s="2"/>
      <c r="J9" s="2"/>
      <c r="K9" s="2"/>
    </row>
    <row r="10" spans="1:14" x14ac:dyDescent="0.2">
      <c r="A10" s="44"/>
      <c r="B10" s="2"/>
      <c r="C10" s="5"/>
      <c r="D10" s="2"/>
      <c r="E10" s="2"/>
      <c r="F10" s="2"/>
    </row>
    <row r="11" spans="1:14" ht="18" x14ac:dyDescent="0.25">
      <c r="A11" s="4" t="s">
        <v>344</v>
      </c>
      <c r="B11" s="594"/>
      <c r="C11" s="576"/>
      <c r="D11" s="2"/>
      <c r="E11" s="2"/>
      <c r="F11" s="2"/>
    </row>
    <row r="12" spans="1:14" x14ac:dyDescent="0.2">
      <c r="A12" s="178" t="s">
        <v>37</v>
      </c>
      <c r="B12" s="176"/>
      <c r="C12" s="177"/>
      <c r="D12" s="176"/>
      <c r="E12" s="176"/>
      <c r="F12" s="146"/>
    </row>
    <row r="13" spans="1:14" x14ac:dyDescent="0.2">
      <c r="A13" s="44"/>
      <c r="B13" s="310" t="s">
        <v>307</v>
      </c>
      <c r="C13" s="85" t="s">
        <v>308</v>
      </c>
      <c r="D13" s="310" t="s">
        <v>240</v>
      </c>
      <c r="E13" s="310" t="s">
        <v>237</v>
      </c>
      <c r="F13" s="2"/>
      <c r="H13" s="72" t="s">
        <v>171</v>
      </c>
      <c r="I13" s="72"/>
      <c r="J13" s="72"/>
      <c r="K13" s="72"/>
    </row>
    <row r="14" spans="1:14" x14ac:dyDescent="0.2">
      <c r="A14" s="67" t="s">
        <v>217</v>
      </c>
      <c r="B14" s="377">
        <v>0.5</v>
      </c>
      <c r="C14" s="240">
        <v>10</v>
      </c>
      <c r="D14" s="183">
        <v>135</v>
      </c>
      <c r="E14" s="339">
        <f>C14*D14</f>
        <v>1350</v>
      </c>
      <c r="F14" s="2"/>
      <c r="H14" s="29" t="s">
        <v>187</v>
      </c>
      <c r="J14" s="56"/>
      <c r="K14" s="56"/>
      <c r="L14" s="183">
        <v>185</v>
      </c>
      <c r="N14" s="29" t="s">
        <v>188</v>
      </c>
    </row>
    <row r="15" spans="1:14" x14ac:dyDescent="0.2">
      <c r="A15" s="67" t="s">
        <v>218</v>
      </c>
      <c r="B15" s="377">
        <v>0</v>
      </c>
      <c r="C15" s="240">
        <v>0</v>
      </c>
      <c r="D15" s="183">
        <v>0</v>
      </c>
      <c r="E15" s="339">
        <f>C15*D15</f>
        <v>0</v>
      </c>
      <c r="F15" s="2"/>
      <c r="H15" s="29" t="s">
        <v>185</v>
      </c>
      <c r="L15" s="577">
        <v>0.5</v>
      </c>
    </row>
    <row r="16" spans="1:14" x14ac:dyDescent="0.2">
      <c r="A16" s="67" t="s">
        <v>215</v>
      </c>
      <c r="B16" s="2"/>
      <c r="C16" s="407">
        <f>C14*(1-B14)</f>
        <v>5</v>
      </c>
      <c r="D16" s="2"/>
      <c r="E16" s="328"/>
      <c r="F16" s="2"/>
      <c r="H16" s="29" t="s">
        <v>186</v>
      </c>
      <c r="L16" s="408">
        <f>(L14/0.87)*(1-L15)</f>
        <v>106.32183908045977</v>
      </c>
    </row>
    <row r="17" spans="1:24" x14ac:dyDescent="0.2">
      <c r="A17" s="67" t="s">
        <v>216</v>
      </c>
      <c r="B17" s="2"/>
      <c r="C17" s="407">
        <f>C15*(1-B15)</f>
        <v>0</v>
      </c>
      <c r="D17" s="2"/>
      <c r="E17" s="328"/>
      <c r="F17" s="2"/>
      <c r="H17" s="29"/>
      <c r="L17" s="331"/>
    </row>
    <row r="18" spans="1:24" x14ac:dyDescent="0.2">
      <c r="A18" s="229" t="s">
        <v>200</v>
      </c>
      <c r="B18" s="230"/>
      <c r="C18" s="226"/>
      <c r="D18" s="230"/>
      <c r="E18" s="341">
        <f>SUM(E14:E15)</f>
        <v>1350</v>
      </c>
      <c r="F18" s="2"/>
    </row>
    <row r="19" spans="1:24" x14ac:dyDescent="0.2">
      <c r="A19" s="178" t="s">
        <v>40</v>
      </c>
      <c r="B19" s="179"/>
      <c r="C19" s="180"/>
      <c r="D19" s="179"/>
      <c r="E19" s="179"/>
      <c r="F19" s="181"/>
    </row>
    <row r="20" spans="1:24" ht="12" customHeight="1" x14ac:dyDescent="0.2">
      <c r="A20" s="25"/>
      <c r="B20" s="7"/>
      <c r="C20" s="5"/>
      <c r="D20" s="7"/>
      <c r="E20" s="7"/>
      <c r="F20" s="2"/>
    </row>
    <row r="21" spans="1:24" x14ac:dyDescent="0.2">
      <c r="A21" s="168" t="s">
        <v>4</v>
      </c>
      <c r="B21" s="144"/>
      <c r="C21" s="167"/>
      <c r="D21" s="167"/>
      <c r="E21" s="167"/>
      <c r="F21" s="146"/>
      <c r="M21" s="56"/>
      <c r="N21" s="56"/>
      <c r="O21" s="56"/>
      <c r="P21" s="56"/>
    </row>
    <row r="22" spans="1:24" ht="15" customHeight="1" x14ac:dyDescent="0.2">
      <c r="A22" s="152" t="s">
        <v>88</v>
      </c>
      <c r="B22" s="153"/>
      <c r="C22" s="154"/>
      <c r="D22" s="154"/>
      <c r="E22" s="154"/>
      <c r="F22" s="151"/>
      <c r="G22" s="42"/>
      <c r="H22" s="108"/>
      <c r="I22" s="42"/>
      <c r="J22" s="108"/>
      <c r="K22" s="42"/>
      <c r="M22" s="73"/>
      <c r="N22" s="56"/>
      <c r="O22" s="56"/>
      <c r="P22" s="56"/>
    </row>
    <row r="23" spans="1:24" x14ac:dyDescent="0.2">
      <c r="A23" s="53"/>
      <c r="B23" s="91" t="s">
        <v>238</v>
      </c>
      <c r="C23" s="91" t="s">
        <v>239</v>
      </c>
      <c r="D23" s="91" t="s">
        <v>240</v>
      </c>
      <c r="E23" s="91" t="s">
        <v>241</v>
      </c>
      <c r="F23" s="2"/>
      <c r="G23" s="109"/>
      <c r="H23" s="100"/>
      <c r="I23" s="42"/>
      <c r="J23" s="100"/>
      <c r="K23" s="108"/>
      <c r="M23" s="73"/>
      <c r="N23" s="56"/>
      <c r="O23" s="56"/>
      <c r="P23" s="56"/>
    </row>
    <row r="24" spans="1:24" x14ac:dyDescent="0.2">
      <c r="A24" s="61" t="s">
        <v>304</v>
      </c>
      <c r="B24" s="297"/>
      <c r="C24" s="124">
        <v>0</v>
      </c>
      <c r="D24" s="140">
        <v>0</v>
      </c>
      <c r="E24" s="342">
        <f>((D24/2000)*B24*C24)</f>
        <v>0</v>
      </c>
      <c r="F24" s="2"/>
      <c r="G24" s="89"/>
      <c r="H24" s="10"/>
      <c r="I24" s="116"/>
      <c r="J24" s="10"/>
      <c r="K24" s="42"/>
      <c r="M24" s="56"/>
      <c r="N24" s="56"/>
      <c r="O24" s="73"/>
      <c r="P24" s="73"/>
      <c r="Q24" s="73"/>
      <c r="R24" s="73"/>
      <c r="S24" s="56"/>
      <c r="T24" s="56"/>
      <c r="U24" s="56"/>
      <c r="V24" s="56"/>
      <c r="W24" s="56"/>
      <c r="X24" s="56"/>
    </row>
    <row r="25" spans="1:24" x14ac:dyDescent="0.2">
      <c r="A25" s="61"/>
      <c r="B25" s="63"/>
      <c r="C25" s="75"/>
      <c r="D25" s="17"/>
      <c r="E25" s="74"/>
      <c r="F25" s="2"/>
      <c r="G25" s="89"/>
      <c r="H25" s="10"/>
      <c r="I25" s="116"/>
      <c r="J25" s="10"/>
      <c r="K25" s="42"/>
      <c r="M25" s="56"/>
      <c r="N25" s="56"/>
      <c r="O25" s="73"/>
      <c r="P25" s="73"/>
      <c r="Q25" s="73"/>
      <c r="R25" s="73"/>
      <c r="S25" s="56"/>
      <c r="T25" s="56"/>
      <c r="U25" s="56"/>
      <c r="V25" s="56"/>
      <c r="W25" s="56"/>
      <c r="X25" s="56"/>
    </row>
    <row r="26" spans="1:24" x14ac:dyDescent="0.2">
      <c r="A26" s="53"/>
      <c r="C26" s="91" t="s">
        <v>87</v>
      </c>
      <c r="D26" s="91" t="s">
        <v>240</v>
      </c>
      <c r="E26" s="91" t="s">
        <v>241</v>
      </c>
      <c r="F26" s="2"/>
      <c r="G26" s="109"/>
      <c r="H26" s="100"/>
      <c r="I26" s="42"/>
      <c r="J26" s="100"/>
      <c r="K26" s="108"/>
      <c r="M26" s="73"/>
      <c r="N26" s="56"/>
      <c r="O26" s="56"/>
      <c r="P26" s="56"/>
    </row>
    <row r="27" spans="1:24" x14ac:dyDescent="0.2">
      <c r="A27" s="298" t="s">
        <v>172</v>
      </c>
      <c r="B27" s="7"/>
      <c r="C27" s="112">
        <v>100</v>
      </c>
      <c r="D27" s="140">
        <v>800</v>
      </c>
      <c r="E27" s="343">
        <f>C27*(D27/2000)</f>
        <v>40</v>
      </c>
      <c r="F27" s="2"/>
      <c r="G27" s="14"/>
      <c r="H27" s="3"/>
      <c r="I27" s="42"/>
      <c r="J27" s="90"/>
      <c r="K27" s="42"/>
    </row>
    <row r="28" spans="1:24" x14ac:dyDescent="0.2">
      <c r="A28" s="298" t="s">
        <v>66</v>
      </c>
      <c r="B28" s="7"/>
      <c r="C28" s="123"/>
      <c r="D28" s="140">
        <v>0</v>
      </c>
      <c r="E28" s="344">
        <f>C28*(D28/2000)</f>
        <v>0</v>
      </c>
      <c r="F28" s="2"/>
      <c r="G28" s="14"/>
      <c r="H28" s="3"/>
      <c r="I28" s="42"/>
      <c r="J28" s="90"/>
      <c r="K28" s="42"/>
    </row>
    <row r="29" spans="1:24" x14ac:dyDescent="0.2">
      <c r="A29" s="299" t="s">
        <v>66</v>
      </c>
      <c r="B29" s="7"/>
      <c r="C29" s="123"/>
      <c r="D29" s="281"/>
      <c r="E29" s="344">
        <f>C29*(D29/2000)</f>
        <v>0</v>
      </c>
      <c r="F29" s="2"/>
      <c r="G29" s="14"/>
      <c r="H29" s="3"/>
      <c r="I29" s="42"/>
      <c r="J29" s="90"/>
      <c r="K29" s="42"/>
    </row>
    <row r="30" spans="1:24" x14ac:dyDescent="0.2">
      <c r="A30" s="298"/>
      <c r="B30" s="11"/>
      <c r="C30" s="112"/>
      <c r="D30" s="140"/>
      <c r="E30" s="343">
        <f>C30*(D30/2000)</f>
        <v>0</v>
      </c>
      <c r="F30" s="2"/>
      <c r="G30" s="14"/>
      <c r="H30" s="3"/>
      <c r="I30" s="42"/>
      <c r="J30" s="90"/>
      <c r="K30" s="42"/>
    </row>
    <row r="31" spans="1:24" x14ac:dyDescent="0.2">
      <c r="A31" s="147"/>
      <c r="B31" s="148"/>
      <c r="C31" s="65"/>
      <c r="D31" s="169"/>
      <c r="E31" s="145"/>
      <c r="F31" s="2"/>
      <c r="G31" s="14"/>
      <c r="H31" s="3"/>
      <c r="I31" s="42"/>
      <c r="J31" s="90"/>
      <c r="K31" s="42"/>
    </row>
    <row r="32" spans="1:24" ht="14.25" customHeight="1" x14ac:dyDescent="0.2">
      <c r="A32" s="149" t="s">
        <v>135</v>
      </c>
      <c r="B32" s="150"/>
      <c r="C32" s="231"/>
      <c r="D32" s="232"/>
      <c r="E32" s="232"/>
      <c r="F32" s="151"/>
      <c r="G32" s="2"/>
      <c r="H32" s="2"/>
      <c r="I32" s="2"/>
      <c r="J32" s="2"/>
      <c r="K32" s="2"/>
      <c r="L32" s="56"/>
      <c r="M32" s="56"/>
      <c r="N32" s="56"/>
      <c r="O32" s="56"/>
      <c r="P32" s="56"/>
      <c r="Q32" s="56"/>
      <c r="R32" s="56"/>
      <c r="S32" s="56"/>
      <c r="T32" s="56"/>
    </row>
    <row r="33" spans="1:20" ht="14.25" customHeight="1" x14ac:dyDescent="0.2">
      <c r="A33" s="76" t="s">
        <v>305</v>
      </c>
      <c r="B33" s="2"/>
      <c r="C33" s="311" t="s">
        <v>68</v>
      </c>
      <c r="D33" s="310" t="s">
        <v>69</v>
      </c>
      <c r="E33" s="91" t="s">
        <v>241</v>
      </c>
      <c r="F33" s="2"/>
      <c r="G33" s="2"/>
      <c r="H33" s="2"/>
      <c r="I33" s="2"/>
      <c r="J33" s="2"/>
      <c r="K33" s="2"/>
      <c r="L33" s="56"/>
      <c r="M33" s="56"/>
      <c r="N33" s="56"/>
      <c r="O33" s="56"/>
      <c r="P33" s="56"/>
      <c r="Q33" s="56"/>
      <c r="R33" s="56"/>
      <c r="S33" s="56"/>
      <c r="T33" s="56"/>
    </row>
    <row r="34" spans="1:20" ht="14.25" customHeight="1" x14ac:dyDescent="0.2">
      <c r="A34" s="291" t="s">
        <v>14</v>
      </c>
      <c r="B34" s="251"/>
      <c r="C34" s="112">
        <v>0</v>
      </c>
      <c r="D34" s="140">
        <v>1.18</v>
      </c>
      <c r="E34" s="343">
        <f>C34*D34</f>
        <v>0</v>
      </c>
      <c r="F34" s="2"/>
      <c r="G34" s="2"/>
      <c r="H34" s="2"/>
      <c r="I34" s="2"/>
      <c r="J34" s="2"/>
      <c r="K34" s="2"/>
      <c r="L34" s="56"/>
      <c r="M34" s="56"/>
      <c r="N34" s="56"/>
      <c r="O34" s="56"/>
      <c r="P34" s="56"/>
      <c r="Q34" s="56"/>
      <c r="R34" s="56"/>
      <c r="S34" s="56"/>
      <c r="T34" s="56"/>
    </row>
    <row r="35" spans="1:20" ht="14.25" customHeight="1" x14ac:dyDescent="0.2">
      <c r="A35" s="312" t="s">
        <v>15</v>
      </c>
      <c r="B35" s="11"/>
      <c r="C35" s="112"/>
      <c r="D35" s="140"/>
      <c r="E35" s="343">
        <f t="shared" ref="E35:E37" si="0">C35*D35</f>
        <v>0</v>
      </c>
      <c r="F35" s="2"/>
      <c r="G35" s="2"/>
      <c r="H35" s="2"/>
      <c r="I35" s="2"/>
      <c r="J35" s="2"/>
      <c r="K35" s="2"/>
      <c r="L35" s="56"/>
      <c r="M35" s="56"/>
      <c r="N35" s="56"/>
      <c r="O35" s="56"/>
      <c r="P35" s="56"/>
      <c r="Q35" s="56"/>
      <c r="R35" s="56"/>
      <c r="S35" s="56"/>
      <c r="T35" s="56"/>
    </row>
    <row r="36" spans="1:20" ht="13.5" customHeight="1" x14ac:dyDescent="0.2">
      <c r="A36" s="312" t="s">
        <v>16</v>
      </c>
      <c r="B36" s="11"/>
      <c r="C36" s="112"/>
      <c r="D36" s="140"/>
      <c r="E36" s="343">
        <f t="shared" si="0"/>
        <v>0</v>
      </c>
      <c r="F36" s="2"/>
      <c r="G36" s="117"/>
      <c r="H36" s="118"/>
      <c r="I36" s="118"/>
      <c r="J36" s="99"/>
      <c r="K36" s="108"/>
      <c r="L36" s="108"/>
    </row>
    <row r="37" spans="1:20" ht="14.25" customHeight="1" x14ac:dyDescent="0.2">
      <c r="A37" s="313" t="s">
        <v>17</v>
      </c>
      <c r="B37" s="11"/>
      <c r="C37" s="112"/>
      <c r="D37" s="140"/>
      <c r="E37" s="344">
        <f t="shared" si="0"/>
        <v>0</v>
      </c>
      <c r="F37" s="2"/>
      <c r="G37" s="27"/>
      <c r="H37" s="10"/>
      <c r="I37" s="10"/>
      <c r="J37" s="10"/>
      <c r="K37" s="10"/>
      <c r="M37" s="56"/>
    </row>
    <row r="38" spans="1:20" ht="14.25" customHeight="1" x14ac:dyDescent="0.2">
      <c r="A38" s="289" t="s">
        <v>86</v>
      </c>
      <c r="B38" s="11"/>
      <c r="C38" s="65"/>
      <c r="D38" s="145"/>
      <c r="E38" s="300">
        <v>0</v>
      </c>
      <c r="F38" s="2"/>
      <c r="G38" s="27"/>
      <c r="H38" s="10"/>
      <c r="I38" s="10"/>
      <c r="J38" s="10"/>
      <c r="K38" s="10"/>
      <c r="M38" s="56"/>
    </row>
    <row r="39" spans="1:20" ht="14.25" customHeight="1" x14ac:dyDescent="0.2">
      <c r="A39" s="130" t="s">
        <v>136</v>
      </c>
      <c r="B39" s="129"/>
      <c r="C39" s="65"/>
      <c r="D39" s="145"/>
      <c r="E39" s="140">
        <v>0</v>
      </c>
      <c r="F39" s="2"/>
      <c r="G39" s="27"/>
      <c r="H39" s="10"/>
      <c r="I39" s="10"/>
      <c r="J39" s="10"/>
      <c r="K39" s="10"/>
      <c r="M39" s="56"/>
    </row>
    <row r="40" spans="1:20" ht="14.25" x14ac:dyDescent="0.25">
      <c r="A40" s="51"/>
      <c r="B40" s="11"/>
      <c r="C40" s="12" t="s">
        <v>194</v>
      </c>
      <c r="D40" s="318" t="s">
        <v>266</v>
      </c>
      <c r="E40" s="74"/>
      <c r="F40" s="2"/>
      <c r="G40" s="109"/>
      <c r="H40" s="13"/>
      <c r="I40" s="10"/>
      <c r="J40" s="13"/>
      <c r="K40" s="13"/>
      <c r="L40" s="42"/>
      <c r="M40" s="56"/>
    </row>
    <row r="41" spans="1:20" x14ac:dyDescent="0.2">
      <c r="A41" s="314" t="s">
        <v>193</v>
      </c>
      <c r="C41" s="112">
        <v>0</v>
      </c>
      <c r="D41" s="300"/>
      <c r="E41" s="345">
        <f t="shared" ref="E41" si="1">C41*D41</f>
        <v>0</v>
      </c>
      <c r="F41" s="2"/>
      <c r="G41" s="89"/>
      <c r="H41" s="10"/>
      <c r="I41" s="13"/>
      <c r="J41" s="13"/>
      <c r="K41" s="13"/>
      <c r="L41" s="42"/>
    </row>
    <row r="42" spans="1:20" ht="14.25" customHeight="1" x14ac:dyDescent="0.25">
      <c r="A42" s="61"/>
      <c r="B42" s="11"/>
      <c r="C42" s="310" t="s">
        <v>195</v>
      </c>
      <c r="D42" s="318" t="s">
        <v>265</v>
      </c>
      <c r="E42" s="74"/>
      <c r="F42" s="2"/>
      <c r="G42" s="14"/>
      <c r="H42" s="10"/>
      <c r="I42" s="13"/>
      <c r="J42" s="13"/>
      <c r="K42" s="100"/>
      <c r="L42" s="42"/>
      <c r="M42" s="56"/>
      <c r="N42" s="56"/>
      <c r="O42" s="56"/>
      <c r="P42" s="56"/>
      <c r="Q42" s="56"/>
    </row>
    <row r="43" spans="1:20" ht="14.25" customHeight="1" x14ac:dyDescent="0.2">
      <c r="A43" s="315" t="s">
        <v>13</v>
      </c>
      <c r="C43" s="112">
        <v>300</v>
      </c>
      <c r="D43" s="140">
        <v>0.71</v>
      </c>
      <c r="E43" s="343">
        <f>C43*D43</f>
        <v>213</v>
      </c>
      <c r="F43" s="2"/>
      <c r="G43" s="117"/>
      <c r="H43" s="118"/>
      <c r="I43" s="119"/>
      <c r="J43" s="119"/>
      <c r="K43" s="98"/>
      <c r="L43" s="99"/>
    </row>
    <row r="44" spans="1:20" ht="14.25" customHeight="1" x14ac:dyDescent="0.2">
      <c r="A44" s="6"/>
      <c r="B44" s="2"/>
      <c r="C44" s="19"/>
      <c r="D44" s="2"/>
      <c r="E44" s="2"/>
      <c r="F44" s="2"/>
      <c r="G44" s="14"/>
      <c r="H44" s="3"/>
      <c r="I44" s="3"/>
      <c r="J44" s="3"/>
      <c r="K44" s="3"/>
      <c r="L44" s="3"/>
    </row>
    <row r="45" spans="1:20" ht="14.25" customHeight="1" x14ac:dyDescent="0.2">
      <c r="A45" s="289" t="s">
        <v>133</v>
      </c>
      <c r="B45" s="11"/>
      <c r="C45" s="16"/>
      <c r="D45" s="17"/>
      <c r="E45" s="140">
        <v>0</v>
      </c>
      <c r="F45" s="2"/>
      <c r="G45" s="27"/>
      <c r="H45" s="10"/>
      <c r="I45" s="10"/>
      <c r="J45" s="10"/>
      <c r="K45" s="10"/>
      <c r="L45" s="10"/>
    </row>
    <row r="46" spans="1:20" ht="14.25" customHeight="1" x14ac:dyDescent="0.2">
      <c r="A46" s="238"/>
      <c r="B46" s="11"/>
      <c r="C46" s="16"/>
      <c r="D46" s="17"/>
      <c r="E46" s="156"/>
      <c r="F46" s="2"/>
      <c r="G46" s="27"/>
      <c r="H46" s="10"/>
      <c r="I46" s="10"/>
      <c r="J46" s="10"/>
      <c r="K46" s="10"/>
      <c r="L46" s="10"/>
    </row>
    <row r="47" spans="1:20" ht="14.25" customHeight="1" x14ac:dyDescent="0.2">
      <c r="A47" s="289" t="s">
        <v>7</v>
      </c>
      <c r="B47" s="11"/>
      <c r="C47" s="16"/>
      <c r="D47" s="17"/>
      <c r="E47" s="140">
        <v>0</v>
      </c>
      <c r="F47" s="2"/>
      <c r="G47" s="27"/>
      <c r="H47" s="10"/>
      <c r="I47" s="10"/>
      <c r="J47" s="10"/>
      <c r="K47" s="10"/>
      <c r="L47" s="10"/>
    </row>
    <row r="48" spans="1:20" ht="14.25" customHeight="1" x14ac:dyDescent="0.2">
      <c r="A48" s="289"/>
      <c r="B48" s="11"/>
      <c r="C48" s="16"/>
      <c r="D48" s="17"/>
      <c r="E48" s="140">
        <v>0</v>
      </c>
      <c r="F48" s="2"/>
      <c r="G48" s="27"/>
      <c r="H48" s="10"/>
      <c r="I48" s="10"/>
      <c r="J48" s="10"/>
      <c r="K48" s="10"/>
      <c r="L48" s="10"/>
    </row>
    <row r="49" spans="1:19" ht="14.25" customHeight="1" x14ac:dyDescent="0.2">
      <c r="A49" s="289"/>
      <c r="B49" s="11"/>
      <c r="C49" s="16"/>
      <c r="D49" s="17"/>
      <c r="E49" s="140">
        <v>0</v>
      </c>
      <c r="F49" s="2"/>
      <c r="G49" s="27"/>
      <c r="H49" s="10"/>
      <c r="I49" s="10"/>
      <c r="J49" s="10"/>
      <c r="K49" s="10"/>
      <c r="L49" s="10"/>
    </row>
    <row r="50" spans="1:19" ht="14.25" customHeight="1" x14ac:dyDescent="0.2">
      <c r="A50" s="52" t="s">
        <v>248</v>
      </c>
      <c r="B50" s="155"/>
      <c r="C50" s="316" t="s">
        <v>72</v>
      </c>
      <c r="D50" s="85" t="s">
        <v>256</v>
      </c>
      <c r="E50" s="17"/>
      <c r="F50" s="2"/>
      <c r="G50" s="27"/>
      <c r="H50" s="10"/>
      <c r="I50" s="10"/>
      <c r="J50" s="10"/>
      <c r="K50" s="10"/>
      <c r="L50" s="10"/>
    </row>
    <row r="51" spans="1:19" ht="14.25" customHeight="1" x14ac:dyDescent="0.2">
      <c r="A51" s="289" t="s">
        <v>89</v>
      </c>
      <c r="B51" s="20"/>
      <c r="C51" s="112">
        <v>2</v>
      </c>
      <c r="D51" s="140">
        <v>8</v>
      </c>
      <c r="E51" s="343">
        <f>D51*C51</f>
        <v>16</v>
      </c>
      <c r="F51" s="2"/>
      <c r="G51" s="27"/>
      <c r="H51" s="10"/>
      <c r="I51" s="10"/>
      <c r="J51" s="10"/>
      <c r="K51" s="10"/>
      <c r="L51" s="10"/>
    </row>
    <row r="52" spans="1:19" ht="14.25" customHeight="1" x14ac:dyDescent="0.2">
      <c r="A52" s="289"/>
      <c r="B52" s="20"/>
      <c r="C52" s="112"/>
      <c r="D52" s="140"/>
      <c r="E52" s="343">
        <f t="shared" ref="E52:E53" si="2">D52*C52</f>
        <v>0</v>
      </c>
      <c r="F52" s="2"/>
      <c r="G52" s="27"/>
      <c r="H52" s="10"/>
      <c r="I52" s="10"/>
      <c r="J52" s="10"/>
      <c r="K52" s="10"/>
      <c r="L52" s="10"/>
    </row>
    <row r="53" spans="1:19" ht="14.25" customHeight="1" x14ac:dyDescent="0.2">
      <c r="A53" s="289"/>
      <c r="B53" s="20"/>
      <c r="C53" s="112"/>
      <c r="D53" s="140"/>
      <c r="E53" s="343">
        <f t="shared" si="2"/>
        <v>0</v>
      </c>
      <c r="F53" s="2"/>
      <c r="G53" s="27"/>
      <c r="H53" s="10"/>
      <c r="I53" s="10"/>
      <c r="J53" s="10"/>
      <c r="K53" s="10"/>
      <c r="L53" s="10"/>
    </row>
    <row r="54" spans="1:19" ht="14.25" customHeight="1" x14ac:dyDescent="0.2">
      <c r="A54" s="52"/>
      <c r="B54" s="11"/>
      <c r="C54" s="16"/>
      <c r="D54" s="17"/>
      <c r="E54" s="17"/>
      <c r="F54" s="2"/>
      <c r="G54" s="27"/>
      <c r="H54" s="10"/>
      <c r="I54" s="10"/>
      <c r="J54" s="10"/>
      <c r="K54" s="10"/>
      <c r="L54" s="10"/>
    </row>
    <row r="55" spans="1:19" x14ac:dyDescent="0.2">
      <c r="A55" s="6"/>
      <c r="B55" s="12" t="s">
        <v>263</v>
      </c>
      <c r="C55" s="12" t="s">
        <v>264</v>
      </c>
      <c r="D55" s="85" t="s">
        <v>240</v>
      </c>
      <c r="E55" s="91" t="s">
        <v>241</v>
      </c>
      <c r="F55" s="2"/>
    </row>
    <row r="56" spans="1:19" x14ac:dyDescent="0.2">
      <c r="A56" s="11" t="s">
        <v>80</v>
      </c>
      <c r="B56" s="301">
        <v>3</v>
      </c>
      <c r="C56" s="113">
        <v>3</v>
      </c>
      <c r="D56" s="183">
        <v>29</v>
      </c>
      <c r="E56" s="343">
        <f>(D56*C56)/B56</f>
        <v>29</v>
      </c>
      <c r="F56" s="2"/>
      <c r="H56" s="126"/>
      <c r="I56" s="56"/>
      <c r="J56" s="56"/>
      <c r="K56" s="56"/>
      <c r="L56" s="56"/>
      <c r="M56" s="56"/>
      <c r="N56" s="56"/>
      <c r="O56" s="56"/>
      <c r="P56" s="56"/>
      <c r="Q56" s="56"/>
      <c r="R56" s="56"/>
      <c r="S56" s="56"/>
    </row>
    <row r="57" spans="1:19" x14ac:dyDescent="0.2">
      <c r="A57" s="31"/>
      <c r="B57" s="185"/>
      <c r="C57" s="184"/>
      <c r="D57" s="319" t="s">
        <v>241</v>
      </c>
      <c r="E57" s="156"/>
      <c r="F57" s="2"/>
      <c r="H57" s="126"/>
      <c r="I57" s="56"/>
      <c r="J57" s="56"/>
      <c r="K57" s="56"/>
      <c r="L57" s="56"/>
      <c r="M57" s="56"/>
      <c r="N57" s="56"/>
      <c r="O57" s="56"/>
      <c r="P57" s="56"/>
      <c r="Q57" s="56"/>
      <c r="R57" s="56"/>
      <c r="S57" s="56"/>
    </row>
    <row r="58" spans="1:19" x14ac:dyDescent="0.2">
      <c r="A58" s="252" t="s">
        <v>98</v>
      </c>
      <c r="B58" s="20"/>
      <c r="C58" s="182"/>
      <c r="D58" s="183">
        <v>34.5</v>
      </c>
      <c r="E58" s="343">
        <f>D58/B56</f>
        <v>11.5</v>
      </c>
      <c r="F58" s="2"/>
      <c r="H58" s="126"/>
      <c r="I58" s="56"/>
      <c r="J58" s="56"/>
      <c r="K58" s="56"/>
      <c r="L58" s="56"/>
      <c r="M58" s="56"/>
      <c r="N58" s="56"/>
      <c r="O58" s="56"/>
      <c r="P58" s="56"/>
      <c r="Q58" s="56"/>
      <c r="R58" s="56"/>
      <c r="S58" s="56"/>
    </row>
    <row r="59" spans="1:19" x14ac:dyDescent="0.2">
      <c r="A59" s="31"/>
      <c r="B59" s="133"/>
      <c r="C59" s="135"/>
      <c r="D59" s="3"/>
      <c r="E59" s="10"/>
      <c r="F59" s="2"/>
      <c r="H59" s="126"/>
      <c r="I59" s="56"/>
      <c r="J59" s="56"/>
      <c r="K59" s="56"/>
      <c r="L59" s="56"/>
      <c r="M59" s="56"/>
      <c r="N59" s="56"/>
      <c r="O59" s="56"/>
      <c r="P59" s="56"/>
      <c r="Q59" s="56"/>
      <c r="R59" s="56"/>
      <c r="S59" s="56"/>
    </row>
    <row r="60" spans="1:19" x14ac:dyDescent="0.2">
      <c r="A60" s="229" t="s">
        <v>198</v>
      </c>
      <c r="B60" s="230"/>
      <c r="C60" s="230"/>
      <c r="D60" s="230"/>
      <c r="E60" s="341">
        <f>SUM(E24:E59)</f>
        <v>309.5</v>
      </c>
      <c r="F60" s="2"/>
      <c r="G60" s="52"/>
      <c r="H60" s="52"/>
      <c r="I60" s="56"/>
      <c r="J60" s="56"/>
      <c r="K60" s="56"/>
      <c r="L60" s="56"/>
      <c r="M60" s="56"/>
      <c r="N60" s="56"/>
      <c r="O60" s="56"/>
      <c r="P60" s="56"/>
      <c r="Q60" s="56"/>
      <c r="R60" s="56"/>
      <c r="S60" s="56"/>
    </row>
    <row r="61" spans="1:19" x14ac:dyDescent="0.2">
      <c r="A61" s="166" t="s">
        <v>94</v>
      </c>
      <c r="B61" s="146"/>
      <c r="C61" s="146"/>
      <c r="D61" s="146"/>
      <c r="E61" s="146"/>
      <c r="F61" s="146"/>
      <c r="G61" s="52"/>
      <c r="H61" s="52"/>
      <c r="I61" s="56"/>
      <c r="J61" s="56"/>
      <c r="K61" s="56"/>
      <c r="L61" s="56"/>
      <c r="M61" s="56"/>
      <c r="N61" s="56"/>
      <c r="O61" s="56"/>
      <c r="P61" s="56"/>
      <c r="Q61" s="56"/>
      <c r="R61" s="56"/>
      <c r="S61" s="56"/>
    </row>
    <row r="62" spans="1:19" x14ac:dyDescent="0.2">
      <c r="A62" s="287" t="s">
        <v>183</v>
      </c>
      <c r="B62" s="101">
        <v>3</v>
      </c>
      <c r="C62" s="58"/>
      <c r="D62" s="58"/>
      <c r="E62" s="58"/>
      <c r="F62" s="58"/>
      <c r="G62" s="52"/>
      <c r="H62" s="52"/>
      <c r="I62" s="56"/>
      <c r="J62" s="56"/>
      <c r="K62" s="56"/>
      <c r="L62" s="56"/>
      <c r="M62" s="56"/>
      <c r="N62" s="56"/>
      <c r="O62" s="56"/>
      <c r="P62" s="56"/>
      <c r="Q62" s="56"/>
      <c r="R62" s="56"/>
      <c r="S62" s="56"/>
    </row>
    <row r="63" spans="1:19" x14ac:dyDescent="0.2">
      <c r="A63" s="26"/>
      <c r="B63" s="7"/>
      <c r="C63" s="317" t="s">
        <v>314</v>
      </c>
      <c r="D63" s="317" t="s">
        <v>315</v>
      </c>
      <c r="E63" s="91" t="s">
        <v>241</v>
      </c>
      <c r="F63" s="2"/>
      <c r="G63" s="52"/>
      <c r="H63" s="52"/>
      <c r="I63" s="56"/>
      <c r="J63" s="56"/>
      <c r="K63" s="56"/>
      <c r="L63" s="56"/>
      <c r="M63" s="56"/>
      <c r="N63" s="56"/>
      <c r="O63" s="56"/>
      <c r="P63" s="56"/>
      <c r="Q63" s="56"/>
      <c r="R63" s="56"/>
      <c r="S63" s="56"/>
    </row>
    <row r="64" spans="1:19" x14ac:dyDescent="0.2">
      <c r="A64" s="289" t="s">
        <v>173</v>
      </c>
      <c r="B64" s="63"/>
      <c r="C64" s="112">
        <v>0</v>
      </c>
      <c r="D64" s="254">
        <v>350</v>
      </c>
      <c r="E64" s="343">
        <f>((C64/50)*D64)/$B$62</f>
        <v>0</v>
      </c>
      <c r="F64" s="2"/>
      <c r="G64" s="53"/>
      <c r="H64" s="127"/>
      <c r="I64" s="58"/>
      <c r="J64" s="58"/>
      <c r="K64" s="58"/>
      <c r="L64" s="56"/>
      <c r="M64" s="56"/>
      <c r="N64" s="56"/>
      <c r="O64" s="56"/>
      <c r="P64" s="56"/>
      <c r="Q64" s="56"/>
      <c r="R64" s="56"/>
      <c r="S64" s="56"/>
    </row>
    <row r="65" spans="1:23" x14ac:dyDescent="0.2">
      <c r="A65" s="289" t="s">
        <v>175</v>
      </c>
      <c r="B65" s="63"/>
      <c r="C65" s="112"/>
      <c r="D65" s="254"/>
      <c r="E65" s="343">
        <f t="shared" ref="E65:E67" si="3">((C65/50)*D65)/$B$62</f>
        <v>0</v>
      </c>
      <c r="F65" s="2"/>
      <c r="G65" s="53"/>
      <c r="H65" s="127"/>
      <c r="I65" s="58"/>
      <c r="J65" s="58"/>
      <c r="K65" s="58"/>
      <c r="L65" s="56"/>
      <c r="M65" s="56"/>
      <c r="N65" s="56"/>
      <c r="O65" s="56"/>
      <c r="P65" s="56"/>
      <c r="Q65" s="56"/>
      <c r="R65" s="56"/>
      <c r="S65" s="56"/>
    </row>
    <row r="66" spans="1:23" x14ac:dyDescent="0.2">
      <c r="A66" s="289"/>
      <c r="B66" s="63"/>
      <c r="C66" s="112"/>
      <c r="D66" s="254"/>
      <c r="E66" s="343">
        <f t="shared" si="3"/>
        <v>0</v>
      </c>
      <c r="F66" s="2"/>
      <c r="G66" s="53"/>
      <c r="H66" s="127"/>
      <c r="I66" s="58"/>
      <c r="J66" s="58"/>
      <c r="K66" s="58"/>
      <c r="L66" s="56"/>
      <c r="M66" s="56"/>
      <c r="N66" s="56"/>
      <c r="O66" s="56"/>
      <c r="P66" s="56"/>
      <c r="Q66" s="56"/>
      <c r="R66" s="56"/>
      <c r="S66" s="56"/>
    </row>
    <row r="67" spans="1:23" x14ac:dyDescent="0.2">
      <c r="A67" s="101"/>
      <c r="B67" s="63"/>
      <c r="C67" s="112"/>
      <c r="D67" s="254"/>
      <c r="E67" s="343">
        <f t="shared" si="3"/>
        <v>0</v>
      </c>
      <c r="F67" s="2"/>
      <c r="G67" s="53"/>
      <c r="H67" s="127"/>
      <c r="I67" s="58"/>
      <c r="J67" s="58"/>
      <c r="K67" s="58"/>
      <c r="L67" s="56"/>
      <c r="M67" s="56"/>
      <c r="N67" s="56"/>
      <c r="O67" s="56"/>
      <c r="P67" s="56"/>
      <c r="Q67" s="56"/>
      <c r="R67" s="56"/>
      <c r="S67" s="56"/>
    </row>
    <row r="68" spans="1:23" x14ac:dyDescent="0.2">
      <c r="A68" s="27"/>
      <c r="B68" s="9"/>
      <c r="C68" s="310" t="s">
        <v>299</v>
      </c>
      <c r="D68" s="317" t="s">
        <v>236</v>
      </c>
      <c r="E68" s="91" t="s">
        <v>241</v>
      </c>
      <c r="F68" s="2"/>
      <c r="G68" s="56"/>
      <c r="H68" s="56"/>
      <c r="I68" s="58"/>
      <c r="J68" s="58"/>
      <c r="K68" s="58"/>
      <c r="L68" s="56"/>
      <c r="M68" s="56"/>
      <c r="N68" s="56"/>
      <c r="O68" s="56"/>
      <c r="P68" s="56"/>
      <c r="Q68" s="56"/>
      <c r="R68" s="56"/>
      <c r="S68" s="56"/>
      <c r="T68" s="56"/>
      <c r="U68" s="56"/>
      <c r="V68" s="56"/>
      <c r="W68" s="56"/>
    </row>
    <row r="69" spans="1:23" x14ac:dyDescent="0.2">
      <c r="A69" s="76" t="s">
        <v>347</v>
      </c>
      <c r="B69" s="77"/>
      <c r="C69" s="123">
        <v>0</v>
      </c>
      <c r="D69" s="255"/>
      <c r="E69" s="346">
        <f>D69*C69</f>
        <v>0</v>
      </c>
      <c r="F69" s="2"/>
      <c r="G69" s="56"/>
      <c r="H69" s="56"/>
      <c r="I69" s="58"/>
      <c r="J69" s="58"/>
      <c r="K69" s="58"/>
      <c r="L69" s="56"/>
      <c r="M69" s="56"/>
      <c r="N69" s="56"/>
      <c r="O69" s="56"/>
      <c r="P69" s="56"/>
      <c r="Q69" s="56"/>
      <c r="R69" s="56"/>
      <c r="S69" s="56"/>
      <c r="T69" s="56"/>
      <c r="U69" s="56"/>
      <c r="V69" s="56"/>
      <c r="W69" s="56"/>
    </row>
    <row r="70" spans="1:23" x14ac:dyDescent="0.2">
      <c r="A70" s="76" t="s">
        <v>347</v>
      </c>
      <c r="B70" s="77"/>
      <c r="C70" s="112"/>
      <c r="D70" s="254"/>
      <c r="E70" s="565">
        <f>D70*C70</f>
        <v>0</v>
      </c>
      <c r="F70" s="2"/>
      <c r="G70" s="56"/>
      <c r="H70" s="56"/>
      <c r="I70" s="58"/>
      <c r="J70" s="58"/>
      <c r="K70" s="58"/>
      <c r="L70" s="56"/>
      <c r="M70" s="56"/>
      <c r="N70" s="56"/>
      <c r="O70" s="56"/>
      <c r="P70" s="56"/>
      <c r="Q70" s="56"/>
      <c r="R70" s="56"/>
      <c r="S70" s="56"/>
      <c r="T70" s="56"/>
      <c r="U70" s="56"/>
      <c r="V70" s="56"/>
      <c r="W70" s="56"/>
    </row>
    <row r="71" spans="1:23" x14ac:dyDescent="0.2">
      <c r="A71" s="76"/>
      <c r="B71" s="77"/>
      <c r="C71" s="320" t="s">
        <v>261</v>
      </c>
      <c r="D71" s="332" t="s">
        <v>262</v>
      </c>
      <c r="E71" s="322" t="s">
        <v>241</v>
      </c>
      <c r="F71" s="2"/>
      <c r="G71" s="56"/>
      <c r="H71" s="56"/>
      <c r="I71" s="58"/>
      <c r="J71" s="58"/>
      <c r="K71" s="58"/>
      <c r="L71" s="56"/>
      <c r="M71" s="56"/>
      <c r="N71" s="56"/>
      <c r="O71" s="56"/>
      <c r="P71" s="56"/>
      <c r="Q71" s="56"/>
      <c r="R71" s="56"/>
      <c r="S71" s="56"/>
      <c r="T71" s="56"/>
      <c r="U71" s="56"/>
      <c r="V71" s="56"/>
      <c r="W71" s="56"/>
    </row>
    <row r="72" spans="1:23" x14ac:dyDescent="0.2">
      <c r="A72" s="76" t="s">
        <v>347</v>
      </c>
      <c r="B72" s="77"/>
      <c r="C72" s="112"/>
      <c r="D72" s="254"/>
      <c r="E72" s="565">
        <f>D72*C72</f>
        <v>0</v>
      </c>
      <c r="F72" s="2"/>
      <c r="G72" s="56"/>
      <c r="H72" s="56"/>
      <c r="I72" s="58"/>
      <c r="J72" s="58"/>
      <c r="K72" s="58"/>
      <c r="L72" s="56"/>
      <c r="M72" s="56"/>
      <c r="N72" s="56"/>
      <c r="O72" s="56"/>
      <c r="P72" s="56"/>
      <c r="Q72" s="56"/>
      <c r="R72" s="56"/>
      <c r="S72" s="56"/>
      <c r="T72" s="56"/>
      <c r="U72" s="56"/>
      <c r="V72" s="56"/>
      <c r="W72" s="56"/>
    </row>
    <row r="73" spans="1:23" x14ac:dyDescent="0.2">
      <c r="A73" s="215" t="s">
        <v>197</v>
      </c>
      <c r="B73" s="222"/>
      <c r="C73" s="227"/>
      <c r="D73" s="228"/>
      <c r="E73" s="347">
        <f>E64+E69+E70+E72</f>
        <v>0</v>
      </c>
      <c r="F73" s="2"/>
      <c r="G73" s="56"/>
      <c r="H73" s="56"/>
      <c r="I73" s="58"/>
      <c r="J73" s="58"/>
      <c r="K73" s="58"/>
      <c r="L73" s="56"/>
      <c r="M73" s="56"/>
      <c r="N73" s="56"/>
      <c r="O73" s="56"/>
      <c r="P73" s="56"/>
      <c r="Q73" s="56"/>
      <c r="R73" s="56"/>
      <c r="S73" s="56"/>
      <c r="T73" s="56"/>
      <c r="U73" s="56"/>
      <c r="V73" s="56"/>
      <c r="W73" s="56"/>
    </row>
    <row r="74" spans="1:23" x14ac:dyDescent="0.2">
      <c r="A74" s="164" t="s">
        <v>92</v>
      </c>
      <c r="B74" s="160"/>
      <c r="C74" s="161"/>
      <c r="D74" s="162"/>
      <c r="E74" s="214"/>
      <c r="F74" s="146"/>
      <c r="G74" s="58"/>
      <c r="H74" s="58"/>
      <c r="I74" s="58"/>
      <c r="J74" s="58"/>
      <c r="K74" s="58"/>
      <c r="L74" s="56"/>
      <c r="M74" s="56"/>
      <c r="N74" s="56"/>
      <c r="O74" s="56"/>
      <c r="P74" s="56"/>
      <c r="Q74" s="56"/>
      <c r="R74" s="56"/>
      <c r="S74" s="56"/>
    </row>
    <row r="75" spans="1:23" x14ac:dyDescent="0.2">
      <c r="A75" s="165" t="s">
        <v>2</v>
      </c>
      <c r="B75" s="7"/>
      <c r="C75" s="233"/>
      <c r="D75" s="131"/>
      <c r="E75" s="330" t="s">
        <v>67</v>
      </c>
      <c r="F75" s="2"/>
      <c r="G75" s="50"/>
      <c r="H75" s="128"/>
      <c r="I75" s="58"/>
      <c r="J75" s="58"/>
      <c r="K75" s="58"/>
      <c r="L75" s="56"/>
      <c r="M75" s="56"/>
      <c r="N75" s="56"/>
      <c r="O75" s="56"/>
      <c r="P75" s="56"/>
      <c r="Q75" s="56"/>
      <c r="R75" s="56"/>
      <c r="S75" s="56"/>
    </row>
    <row r="76" spans="1:23" x14ac:dyDescent="0.2">
      <c r="A76" s="252" t="s">
        <v>126</v>
      </c>
      <c r="B76" s="7"/>
      <c r="C76" s="233"/>
      <c r="D76" s="131"/>
      <c r="E76" s="307">
        <v>0</v>
      </c>
      <c r="F76" s="2"/>
      <c r="G76" s="50"/>
      <c r="H76" s="128"/>
      <c r="I76" s="58"/>
      <c r="J76" s="58"/>
      <c r="K76" s="58"/>
      <c r="L76" s="56"/>
      <c r="M76" s="56"/>
      <c r="N76" s="56"/>
      <c r="O76" s="56"/>
      <c r="P76" s="56"/>
      <c r="Q76" s="56"/>
      <c r="R76" s="56"/>
      <c r="S76" s="56"/>
    </row>
    <row r="77" spans="1:23" x14ac:dyDescent="0.2">
      <c r="A77" s="251" t="s">
        <v>99</v>
      </c>
      <c r="B77" s="7"/>
      <c r="C77" s="233"/>
      <c r="D77" s="131"/>
      <c r="E77" s="140">
        <v>0</v>
      </c>
      <c r="F77" s="2"/>
      <c r="G77" s="50"/>
      <c r="H77" s="128"/>
      <c r="I77" s="58"/>
      <c r="J77" s="58"/>
      <c r="K77" s="58"/>
      <c r="L77" s="56"/>
      <c r="M77" s="56"/>
      <c r="N77" s="56"/>
      <c r="O77" s="56"/>
      <c r="P77" s="56"/>
      <c r="Q77" s="56"/>
      <c r="R77" s="56"/>
      <c r="S77" s="56"/>
    </row>
    <row r="78" spans="1:23" x14ac:dyDescent="0.2">
      <c r="A78" s="252" t="s">
        <v>127</v>
      </c>
      <c r="B78" s="7"/>
      <c r="C78" s="16"/>
      <c r="D78" s="234"/>
      <c r="E78" s="140">
        <v>0</v>
      </c>
      <c r="F78" s="2"/>
      <c r="G78" s="50"/>
      <c r="H78" s="128"/>
      <c r="I78" s="58"/>
      <c r="J78" s="58"/>
      <c r="K78" s="58"/>
      <c r="L78" s="56"/>
      <c r="M78" s="56"/>
      <c r="N78" s="56"/>
      <c r="O78" s="56"/>
      <c r="P78" s="56"/>
      <c r="Q78" s="56"/>
      <c r="R78" s="56"/>
      <c r="S78" s="56"/>
    </row>
    <row r="79" spans="1:23" x14ac:dyDescent="0.2">
      <c r="A79" s="251" t="s">
        <v>99</v>
      </c>
      <c r="B79" s="7"/>
      <c r="C79" s="16"/>
      <c r="D79" s="234"/>
      <c r="E79" s="140">
        <v>0</v>
      </c>
      <c r="F79" s="2"/>
      <c r="G79" s="50"/>
      <c r="H79" s="128"/>
      <c r="I79" s="58"/>
      <c r="J79" s="58"/>
      <c r="K79" s="58"/>
      <c r="L79" s="56"/>
      <c r="M79" s="56"/>
      <c r="N79" s="56"/>
      <c r="O79" s="56"/>
      <c r="P79" s="56"/>
      <c r="Q79" s="56"/>
      <c r="R79" s="56"/>
      <c r="S79" s="56"/>
    </row>
    <row r="80" spans="1:23" x14ac:dyDescent="0.2">
      <c r="A80" s="252" t="s">
        <v>128</v>
      </c>
      <c r="B80" s="7"/>
      <c r="C80" s="16"/>
      <c r="D80" s="234"/>
      <c r="E80" s="140">
        <v>0</v>
      </c>
      <c r="F80" s="2"/>
      <c r="G80" s="50"/>
      <c r="H80" s="128"/>
      <c r="I80" s="58"/>
      <c r="J80" s="58"/>
      <c r="K80" s="58"/>
      <c r="L80" s="56"/>
      <c r="M80" s="56"/>
      <c r="N80" s="56"/>
      <c r="O80" s="56"/>
      <c r="P80" s="56"/>
      <c r="Q80" s="56"/>
      <c r="R80" s="56"/>
      <c r="S80" s="56"/>
    </row>
    <row r="81" spans="1:19" x14ac:dyDescent="0.2">
      <c r="A81" s="251" t="s">
        <v>99</v>
      </c>
      <c r="B81" s="7"/>
      <c r="C81" s="16"/>
      <c r="D81" s="234"/>
      <c r="E81" s="140">
        <v>0</v>
      </c>
      <c r="F81" s="2"/>
      <c r="G81" s="50"/>
      <c r="H81" s="128"/>
      <c r="I81" s="58"/>
      <c r="J81" s="58"/>
      <c r="K81" s="58"/>
      <c r="L81" s="56"/>
      <c r="M81" s="56"/>
      <c r="N81" s="56"/>
      <c r="O81" s="56"/>
      <c r="P81" s="56"/>
      <c r="Q81" s="56"/>
      <c r="R81" s="56"/>
      <c r="S81" s="56"/>
    </row>
    <row r="82" spans="1:19" x14ac:dyDescent="0.2">
      <c r="A82" s="212" t="s">
        <v>129</v>
      </c>
      <c r="B82" s="5"/>
      <c r="C82" s="65"/>
      <c r="D82" s="235"/>
      <c r="E82" s="140">
        <v>0</v>
      </c>
      <c r="F82" s="2"/>
      <c r="G82" s="49"/>
      <c r="H82" s="49"/>
      <c r="I82" s="58"/>
      <c r="J82" s="58"/>
      <c r="K82" s="58"/>
      <c r="L82" s="56"/>
      <c r="M82" s="56"/>
      <c r="N82" s="56"/>
      <c r="O82" s="56"/>
      <c r="P82" s="56"/>
      <c r="Q82" s="56"/>
      <c r="R82" s="56"/>
      <c r="S82" s="56"/>
    </row>
    <row r="83" spans="1:19" x14ac:dyDescent="0.2">
      <c r="A83" s="212" t="s">
        <v>99</v>
      </c>
      <c r="B83" s="5"/>
      <c r="C83" s="65"/>
      <c r="D83" s="235"/>
      <c r="E83" s="140">
        <v>0</v>
      </c>
      <c r="F83" s="2"/>
      <c r="G83" s="62"/>
      <c r="H83" s="62"/>
      <c r="I83" s="56"/>
      <c r="J83" s="56"/>
      <c r="K83" s="56"/>
      <c r="L83" s="56"/>
      <c r="M83" s="56"/>
      <c r="N83" s="56"/>
      <c r="O83" s="56"/>
      <c r="P83" s="56"/>
      <c r="Q83" s="56"/>
      <c r="R83" s="56"/>
      <c r="S83" s="56"/>
    </row>
    <row r="84" spans="1:19" x14ac:dyDescent="0.2">
      <c r="A84" s="165" t="s">
        <v>8</v>
      </c>
      <c r="B84" s="7"/>
      <c r="C84" s="16"/>
      <c r="D84" s="5"/>
      <c r="E84" s="254">
        <v>0</v>
      </c>
      <c r="F84" s="2"/>
      <c r="G84" s="2"/>
      <c r="H84" s="2"/>
      <c r="I84" s="2"/>
      <c r="J84" s="2"/>
      <c r="K84" s="2"/>
    </row>
    <row r="85" spans="1:19" x14ac:dyDescent="0.2">
      <c r="A85" s="251" t="s">
        <v>130</v>
      </c>
      <c r="B85" s="7"/>
      <c r="C85" s="16"/>
      <c r="D85" s="5"/>
      <c r="E85" s="254">
        <v>0</v>
      </c>
      <c r="F85" s="2"/>
      <c r="G85" s="2"/>
      <c r="H85" s="2"/>
      <c r="I85" s="2"/>
      <c r="J85" s="2"/>
      <c r="K85" s="2"/>
    </row>
    <row r="86" spans="1:19" x14ac:dyDescent="0.2">
      <c r="A86" s="251" t="s">
        <v>99</v>
      </c>
      <c r="B86" s="7"/>
      <c r="C86" s="16"/>
      <c r="D86" s="5"/>
      <c r="E86" s="254">
        <v>0</v>
      </c>
      <c r="F86" s="2"/>
      <c r="G86" s="2"/>
      <c r="H86" s="2"/>
      <c r="I86" s="2"/>
      <c r="J86" s="2"/>
      <c r="K86" s="2"/>
    </row>
    <row r="87" spans="1:19" x14ac:dyDescent="0.2">
      <c r="A87" s="59" t="s">
        <v>131</v>
      </c>
      <c r="B87" s="5"/>
      <c r="C87" s="65"/>
      <c r="D87" s="235"/>
      <c r="E87" s="140">
        <v>0</v>
      </c>
      <c r="F87" s="2"/>
      <c r="H87" s="58"/>
      <c r="I87" s="58"/>
      <c r="J87" s="58"/>
      <c r="K87" s="58"/>
      <c r="L87" s="56"/>
      <c r="M87" s="56"/>
      <c r="N87" s="56"/>
      <c r="O87" s="56"/>
    </row>
    <row r="88" spans="1:19" x14ac:dyDescent="0.2">
      <c r="A88" s="59" t="s">
        <v>99</v>
      </c>
      <c r="B88" s="5"/>
      <c r="C88" s="65"/>
      <c r="D88" s="235"/>
      <c r="E88" s="140">
        <v>0</v>
      </c>
      <c r="F88" s="2"/>
      <c r="G88" s="2"/>
      <c r="H88" s="58"/>
      <c r="I88" s="58"/>
      <c r="J88" s="58"/>
      <c r="K88" s="58"/>
      <c r="L88" s="56"/>
      <c r="M88" s="56"/>
      <c r="N88" s="56"/>
      <c r="O88" s="56"/>
    </row>
    <row r="89" spans="1:19" x14ac:dyDescent="0.2">
      <c r="A89" s="59" t="s">
        <v>131</v>
      </c>
      <c r="B89" s="5"/>
      <c r="C89" s="65"/>
      <c r="D89" s="235"/>
      <c r="E89" s="140">
        <v>0</v>
      </c>
      <c r="F89" s="2"/>
      <c r="G89" s="2"/>
      <c r="H89" s="58"/>
      <c r="I89" s="58"/>
      <c r="J89" s="58"/>
      <c r="K89" s="58"/>
      <c r="L89" s="56"/>
      <c r="M89" s="56"/>
      <c r="N89" s="56"/>
      <c r="O89" s="56"/>
    </row>
    <row r="90" spans="1:19" x14ac:dyDescent="0.2">
      <c r="A90" s="59" t="s">
        <v>99</v>
      </c>
      <c r="B90" s="5"/>
      <c r="C90" s="65"/>
      <c r="D90" s="235"/>
      <c r="E90" s="140">
        <v>0</v>
      </c>
      <c r="F90" s="2"/>
      <c r="G90" s="2"/>
      <c r="H90" s="58"/>
      <c r="I90" s="58"/>
      <c r="J90" s="58"/>
      <c r="K90" s="58"/>
      <c r="L90" s="56"/>
      <c r="M90" s="56"/>
      <c r="N90" s="56"/>
      <c r="O90" s="56"/>
    </row>
    <row r="91" spans="1:19" x14ac:dyDescent="0.2">
      <c r="A91" s="165" t="s">
        <v>12</v>
      </c>
      <c r="B91" s="7"/>
      <c r="C91" s="16"/>
      <c r="D91" s="5"/>
      <c r="E91" s="254">
        <v>0</v>
      </c>
      <c r="F91" s="2"/>
      <c r="G91" s="2"/>
      <c r="H91" s="58"/>
      <c r="I91" s="58"/>
      <c r="J91" s="58"/>
      <c r="K91" s="58"/>
      <c r="L91" s="56"/>
      <c r="M91" s="56"/>
      <c r="N91" s="56"/>
      <c r="O91" s="56"/>
    </row>
    <row r="92" spans="1:19" ht="13.5" customHeight="1" x14ac:dyDescent="0.2">
      <c r="A92" s="59" t="s">
        <v>176</v>
      </c>
      <c r="B92" s="5"/>
      <c r="C92" s="65"/>
      <c r="D92" s="235"/>
      <c r="E92" s="140">
        <v>0</v>
      </c>
      <c r="F92" s="2"/>
      <c r="G92" s="2"/>
      <c r="H92" s="62"/>
      <c r="I92" s="58"/>
      <c r="J92" s="58"/>
      <c r="K92" s="58"/>
      <c r="L92" s="56"/>
      <c r="M92" s="56"/>
      <c r="N92" s="56"/>
      <c r="O92" s="56"/>
    </row>
    <row r="93" spans="1:19" x14ac:dyDescent="0.2">
      <c r="A93" s="59" t="s">
        <v>99</v>
      </c>
      <c r="B93" s="5"/>
      <c r="C93" s="65"/>
      <c r="D93" s="235"/>
      <c r="E93" s="140">
        <v>0</v>
      </c>
      <c r="F93" s="2"/>
      <c r="G93" s="2"/>
      <c r="H93" s="58"/>
      <c r="I93" s="58"/>
      <c r="J93" s="58"/>
      <c r="K93" s="58"/>
      <c r="L93" s="56"/>
      <c r="M93" s="56"/>
      <c r="N93" s="56"/>
      <c r="O93" s="56"/>
    </row>
    <row r="94" spans="1:19" x14ac:dyDescent="0.2">
      <c r="A94" s="59" t="s">
        <v>177</v>
      </c>
      <c r="B94" s="5"/>
      <c r="C94" s="65"/>
      <c r="D94" s="235"/>
      <c r="E94" s="140">
        <v>0</v>
      </c>
      <c r="F94" s="2"/>
      <c r="G94" s="2"/>
      <c r="H94" s="58"/>
      <c r="I94" s="58"/>
      <c r="J94" s="58"/>
      <c r="K94" s="58"/>
      <c r="L94" s="56"/>
      <c r="M94" s="56"/>
      <c r="N94" s="56"/>
      <c r="O94" s="56"/>
    </row>
    <row r="95" spans="1:19" x14ac:dyDescent="0.2">
      <c r="A95" s="59" t="s">
        <v>99</v>
      </c>
      <c r="B95" s="5"/>
      <c r="C95" s="65"/>
      <c r="D95" s="235"/>
      <c r="E95" s="140">
        <v>0</v>
      </c>
      <c r="F95" s="2"/>
      <c r="G95" s="2"/>
      <c r="H95" s="58"/>
      <c r="I95" s="58"/>
      <c r="J95" s="58"/>
      <c r="K95" s="58"/>
      <c r="L95" s="56"/>
      <c r="M95" s="56"/>
      <c r="N95" s="56"/>
      <c r="O95" s="56"/>
    </row>
    <row r="96" spans="1:19" x14ac:dyDescent="0.2">
      <c r="A96" s="59" t="s">
        <v>178</v>
      </c>
      <c r="B96" s="5"/>
      <c r="C96" s="65"/>
      <c r="D96" s="235"/>
      <c r="E96" s="140">
        <v>0</v>
      </c>
      <c r="F96" s="2"/>
      <c r="G96" s="2"/>
      <c r="H96" s="58"/>
      <c r="I96" s="58"/>
      <c r="J96" s="58"/>
      <c r="K96" s="58"/>
      <c r="L96" s="56"/>
      <c r="M96" s="56"/>
      <c r="N96" s="56"/>
      <c r="O96" s="56"/>
    </row>
    <row r="97" spans="1:23" x14ac:dyDescent="0.2">
      <c r="A97" s="59" t="s">
        <v>99</v>
      </c>
      <c r="B97" s="5"/>
      <c r="C97" s="65"/>
      <c r="D97" s="235"/>
      <c r="E97" s="140">
        <v>0</v>
      </c>
      <c r="F97" s="2"/>
      <c r="G97" s="2"/>
      <c r="H97" s="58"/>
      <c r="I97" s="58"/>
      <c r="J97" s="58"/>
      <c r="K97" s="58"/>
      <c r="L97" s="56"/>
      <c r="M97" s="56"/>
      <c r="N97" s="56"/>
      <c r="O97" s="56"/>
    </row>
    <row r="98" spans="1:23" x14ac:dyDescent="0.2">
      <c r="A98" s="212" t="s">
        <v>30</v>
      </c>
      <c r="B98" s="5"/>
      <c r="C98" s="65"/>
      <c r="D98" s="235"/>
      <c r="E98" s="140">
        <v>0</v>
      </c>
      <c r="F98" s="2"/>
      <c r="G98" s="2"/>
      <c r="H98" s="58"/>
      <c r="I98" s="58"/>
      <c r="J98" s="58"/>
      <c r="K98" s="58"/>
      <c r="L98" s="56"/>
      <c r="M98" s="56"/>
      <c r="N98" s="56"/>
      <c r="O98" s="56"/>
      <c r="P98" s="56"/>
    </row>
    <row r="99" spans="1:23" x14ac:dyDescent="0.2">
      <c r="A99" s="212" t="s">
        <v>31</v>
      </c>
      <c r="B99" s="5"/>
      <c r="C99" s="65"/>
      <c r="D99" s="235"/>
      <c r="E99" s="140">
        <v>0</v>
      </c>
      <c r="F99" s="2"/>
      <c r="G99" s="2"/>
      <c r="H99" s="58"/>
      <c r="I99" s="58"/>
      <c r="J99" s="58"/>
      <c r="K99" s="58"/>
      <c r="L99" s="56"/>
      <c r="M99" s="56"/>
      <c r="N99" s="56"/>
      <c r="O99" s="56"/>
      <c r="P99" s="56"/>
    </row>
    <row r="100" spans="1:23" x14ac:dyDescent="0.2">
      <c r="A100" s="225" t="s">
        <v>199</v>
      </c>
      <c r="B100" s="226"/>
      <c r="C100" s="217"/>
      <c r="D100" s="236"/>
      <c r="E100" s="348">
        <f>SUM(E76:E99)</f>
        <v>0</v>
      </c>
      <c r="F100" s="2"/>
      <c r="G100" s="2"/>
      <c r="H100" s="58"/>
      <c r="I100" s="58"/>
      <c r="J100" s="58"/>
      <c r="K100" s="58"/>
      <c r="L100" s="56"/>
      <c r="M100" s="56"/>
      <c r="N100" s="56"/>
      <c r="O100" s="56"/>
      <c r="P100" s="56"/>
    </row>
    <row r="101" spans="1:23" x14ac:dyDescent="0.2">
      <c r="A101" s="196" t="s">
        <v>10</v>
      </c>
      <c r="B101" s="192"/>
      <c r="C101" s="193"/>
      <c r="D101" s="163"/>
      <c r="E101" s="194"/>
      <c r="F101" s="146"/>
      <c r="G101" s="2"/>
      <c r="H101" s="2"/>
      <c r="I101" s="2"/>
      <c r="J101" s="2"/>
      <c r="K101" s="2"/>
    </row>
    <row r="102" spans="1:23" x14ac:dyDescent="0.2">
      <c r="A102" s="213"/>
      <c r="B102" s="5"/>
      <c r="C102" s="16"/>
      <c r="D102" s="17"/>
      <c r="E102" s="91" t="s">
        <v>241</v>
      </c>
      <c r="F102" s="58"/>
      <c r="G102" s="2"/>
      <c r="H102" s="2"/>
      <c r="I102" s="2"/>
      <c r="J102" s="2"/>
      <c r="K102" s="2"/>
    </row>
    <row r="103" spans="1:23" x14ac:dyDescent="0.2">
      <c r="A103" s="212" t="s">
        <v>118</v>
      </c>
      <c r="B103" s="5"/>
      <c r="C103" s="65"/>
      <c r="D103" s="66"/>
      <c r="E103" s="140">
        <v>0</v>
      </c>
      <c r="F103" s="2"/>
      <c r="G103" s="2"/>
      <c r="H103" s="2"/>
      <c r="I103" s="2"/>
      <c r="J103" s="2"/>
      <c r="K103" s="2"/>
    </row>
    <row r="104" spans="1:23" x14ac:dyDescent="0.2">
      <c r="A104" s="212"/>
      <c r="B104" s="5"/>
      <c r="C104" s="320" t="s">
        <v>116</v>
      </c>
      <c r="D104" s="321" t="s">
        <v>258</v>
      </c>
      <c r="E104" s="91" t="s">
        <v>241</v>
      </c>
      <c r="F104" s="2"/>
      <c r="G104" s="2"/>
      <c r="H104" s="2"/>
      <c r="I104" s="2"/>
      <c r="J104" s="2"/>
      <c r="K104" s="2"/>
    </row>
    <row r="105" spans="1:23" x14ac:dyDescent="0.2">
      <c r="A105" s="29" t="s">
        <v>115</v>
      </c>
      <c r="B105" s="9"/>
      <c r="C105" s="219">
        <v>0</v>
      </c>
      <c r="D105" s="220">
        <v>5.5</v>
      </c>
      <c r="E105" s="344">
        <f>+C105*D105</f>
        <v>0</v>
      </c>
      <c r="F105" s="2"/>
      <c r="G105" s="2"/>
      <c r="H105" s="2"/>
      <c r="I105" s="2"/>
      <c r="J105" s="2"/>
      <c r="K105" s="2"/>
    </row>
    <row r="106" spans="1:23" x14ac:dyDescent="0.2">
      <c r="A106" s="221" t="s">
        <v>117</v>
      </c>
      <c r="B106" s="222"/>
      <c r="C106" s="223"/>
      <c r="D106" s="224"/>
      <c r="E106" s="348">
        <f>E105+E103</f>
        <v>0</v>
      </c>
      <c r="F106" s="2"/>
      <c r="G106" s="2"/>
      <c r="H106" s="2"/>
      <c r="I106" s="2"/>
      <c r="J106" s="2"/>
      <c r="K106" s="2"/>
    </row>
    <row r="107" spans="1:23" ht="15" x14ac:dyDescent="0.25">
      <c r="A107" s="164" t="s">
        <v>93</v>
      </c>
      <c r="B107" s="157"/>
      <c r="C107" s="158"/>
      <c r="D107" s="159"/>
      <c r="E107" s="159"/>
      <c r="F107" s="146"/>
      <c r="G107" s="56"/>
      <c r="H107" s="190"/>
      <c r="I107" s="58"/>
      <c r="J107" s="58"/>
      <c r="K107" s="58"/>
      <c r="L107" s="56"/>
      <c r="M107" s="56"/>
      <c r="N107" s="56"/>
      <c r="O107" s="56"/>
      <c r="P107" s="56"/>
      <c r="Q107" s="56"/>
      <c r="R107" s="56"/>
      <c r="S107" s="56"/>
      <c r="T107" s="56"/>
      <c r="U107" s="56"/>
      <c r="V107" s="56"/>
      <c r="W107" s="56"/>
    </row>
    <row r="108" spans="1:23" ht="13.5" customHeight="1" x14ac:dyDescent="0.2">
      <c r="A108" s="26"/>
      <c r="B108" s="7"/>
      <c r="C108" s="8"/>
      <c r="D108" s="132"/>
      <c r="E108" s="91" t="s">
        <v>241</v>
      </c>
      <c r="F108" s="2"/>
      <c r="H108" s="56"/>
      <c r="I108" s="56"/>
      <c r="J108" s="56"/>
      <c r="K108" s="56"/>
      <c r="L108" s="56"/>
      <c r="M108" s="56"/>
      <c r="N108" s="56"/>
      <c r="O108" s="56"/>
      <c r="P108" s="56"/>
      <c r="Q108" s="56"/>
      <c r="R108" s="56"/>
      <c r="S108" s="56"/>
    </row>
    <row r="109" spans="1:23" ht="13.5" customHeight="1" x14ac:dyDescent="0.2">
      <c r="A109" s="252" t="s">
        <v>233</v>
      </c>
      <c r="B109" s="7"/>
      <c r="C109" s="8"/>
      <c r="D109" s="132"/>
      <c r="E109" s="258">
        <v>185</v>
      </c>
      <c r="F109" s="2"/>
      <c r="H109" s="56"/>
      <c r="I109" s="56"/>
      <c r="J109" s="56"/>
      <c r="K109" s="56"/>
      <c r="L109" s="56"/>
      <c r="M109" s="56"/>
      <c r="N109" s="56"/>
      <c r="O109" s="56"/>
      <c r="P109" s="56"/>
      <c r="Q109" s="56"/>
      <c r="R109" s="56"/>
      <c r="S109" s="56"/>
    </row>
    <row r="110" spans="1:23" x14ac:dyDescent="0.2">
      <c r="A110" s="252" t="s">
        <v>28</v>
      </c>
      <c r="B110" s="7"/>
      <c r="C110" s="65"/>
      <c r="D110" s="66"/>
      <c r="E110" s="140">
        <v>30</v>
      </c>
      <c r="F110" s="2"/>
      <c r="G110" s="2"/>
      <c r="H110" s="58"/>
      <c r="I110" s="58"/>
      <c r="J110" s="58"/>
      <c r="K110" s="58"/>
      <c r="L110" s="56"/>
      <c r="M110" s="56"/>
      <c r="N110" s="56"/>
      <c r="O110" s="56"/>
      <c r="P110" s="56"/>
      <c r="Q110" s="56"/>
      <c r="R110" s="56"/>
      <c r="S110" s="56"/>
    </row>
    <row r="111" spans="1:23" x14ac:dyDescent="0.2">
      <c r="A111" s="252" t="s">
        <v>102</v>
      </c>
      <c r="B111" s="7"/>
      <c r="C111" s="65"/>
      <c r="D111" s="66"/>
      <c r="E111" s="140">
        <v>0</v>
      </c>
      <c r="F111" s="2"/>
      <c r="G111" s="2"/>
      <c r="H111" s="58"/>
      <c r="I111" s="58"/>
      <c r="J111" s="58"/>
      <c r="K111" s="58"/>
      <c r="L111" s="56"/>
      <c r="M111" s="56"/>
      <c r="N111" s="56"/>
      <c r="O111" s="56"/>
      <c r="P111" s="56"/>
      <c r="Q111" s="56"/>
      <c r="R111" s="56"/>
      <c r="S111" s="56"/>
    </row>
    <row r="112" spans="1:23" ht="15" x14ac:dyDescent="0.25">
      <c r="A112" s="252" t="s">
        <v>91</v>
      </c>
      <c r="B112" s="63" t="s">
        <v>234</v>
      </c>
      <c r="C112" s="65"/>
      <c r="D112" s="66"/>
      <c r="E112" s="140">
        <v>0</v>
      </c>
      <c r="F112" s="2"/>
      <c r="G112" s="2"/>
      <c r="H112" s="189"/>
      <c r="I112" s="13"/>
      <c r="J112" s="13"/>
      <c r="K112" s="13"/>
      <c r="L112" s="42"/>
      <c r="M112" s="42"/>
      <c r="N112" s="42"/>
      <c r="O112" s="42"/>
      <c r="P112" s="42"/>
      <c r="Q112" s="42"/>
      <c r="R112" s="42"/>
      <c r="S112" s="42"/>
    </row>
    <row r="113" spans="1:19" ht="15" x14ac:dyDescent="0.25">
      <c r="A113" s="252" t="s">
        <v>101</v>
      </c>
      <c r="B113" s="63"/>
      <c r="C113" s="65"/>
      <c r="D113" s="66"/>
      <c r="E113" s="281">
        <v>1.45</v>
      </c>
      <c r="F113" s="2"/>
      <c r="G113" s="2"/>
      <c r="H113" s="189"/>
      <c r="I113" s="13"/>
      <c r="J113" s="13"/>
      <c r="K113" s="13"/>
      <c r="L113" s="42"/>
      <c r="M113" s="42"/>
      <c r="N113" s="42"/>
      <c r="O113" s="42"/>
      <c r="P113" s="42"/>
      <c r="Q113" s="42"/>
      <c r="R113" s="42"/>
      <c r="S113" s="42"/>
    </row>
    <row r="114" spans="1:19" x14ac:dyDescent="0.2">
      <c r="A114" s="215" t="s">
        <v>120</v>
      </c>
      <c r="B114" s="216"/>
      <c r="C114" s="217"/>
      <c r="D114" s="218"/>
      <c r="E114" s="348">
        <f>SUM(E109:E113)</f>
        <v>216.45</v>
      </c>
      <c r="F114" s="2"/>
      <c r="G114" s="2"/>
      <c r="H114" s="58"/>
      <c r="I114" s="58"/>
      <c r="J114" s="58"/>
      <c r="K114" s="58"/>
      <c r="L114" s="56"/>
      <c r="M114" s="56"/>
      <c r="N114" s="56"/>
      <c r="O114" s="56"/>
      <c r="P114" s="56"/>
      <c r="Q114" s="56"/>
      <c r="R114" s="56"/>
      <c r="S114" s="56"/>
    </row>
    <row r="115" spans="1:19" x14ac:dyDescent="0.2">
      <c r="A115" s="144"/>
      <c r="B115" s="157"/>
      <c r="C115" s="202"/>
      <c r="D115" s="203"/>
      <c r="E115" s="198"/>
      <c r="F115" s="146"/>
      <c r="G115" s="2"/>
      <c r="H115" s="2"/>
      <c r="I115" s="2"/>
      <c r="J115" s="2"/>
      <c r="K115" s="2"/>
    </row>
    <row r="116" spans="1:19" x14ac:dyDescent="0.2">
      <c r="A116" s="394" t="s">
        <v>203</v>
      </c>
      <c r="B116" s="395"/>
      <c r="C116" s="396"/>
      <c r="D116" s="397"/>
      <c r="E116" s="348">
        <f>E60+E73+E100+E106+E114</f>
        <v>525.95000000000005</v>
      </c>
      <c r="F116" s="2"/>
      <c r="G116" s="2"/>
      <c r="H116" s="2"/>
      <c r="I116" s="2"/>
      <c r="J116" s="2"/>
      <c r="K116" s="2"/>
    </row>
    <row r="117" spans="1:19" x14ac:dyDescent="0.2">
      <c r="A117" s="22"/>
      <c r="B117" s="5"/>
      <c r="C117" s="16"/>
      <c r="D117" s="17"/>
      <c r="E117" s="186"/>
      <c r="F117" s="2"/>
      <c r="G117" s="2"/>
      <c r="H117" s="2"/>
      <c r="I117" s="2"/>
      <c r="J117" s="2"/>
      <c r="K117" s="2"/>
    </row>
    <row r="118" spans="1:19" x14ac:dyDescent="0.2">
      <c r="A118" s="195" t="s">
        <v>100</v>
      </c>
      <c r="B118" s="146"/>
      <c r="C118" s="187"/>
      <c r="D118" s="157"/>
      <c r="E118" s="146"/>
      <c r="F118" s="146"/>
    </row>
    <row r="119" spans="1:19" x14ac:dyDescent="0.2">
      <c r="A119" s="18" t="s">
        <v>121</v>
      </c>
      <c r="B119" s="2"/>
      <c r="C119" s="311" t="s">
        <v>257</v>
      </c>
      <c r="D119" s="323" t="s">
        <v>256</v>
      </c>
      <c r="E119" s="91" t="s">
        <v>241</v>
      </c>
      <c r="F119" s="2"/>
      <c r="Q119" s="87"/>
    </row>
    <row r="120" spans="1:19" x14ac:dyDescent="0.2">
      <c r="A120" s="289" t="s">
        <v>82</v>
      </c>
      <c r="B120" s="7"/>
      <c r="C120" s="112">
        <v>0</v>
      </c>
      <c r="D120" s="139">
        <v>20</v>
      </c>
      <c r="E120" s="339">
        <f>C120*D120</f>
        <v>0</v>
      </c>
      <c r="F120" s="2"/>
    </row>
    <row r="121" spans="1:19" x14ac:dyDescent="0.2">
      <c r="A121" s="289" t="s">
        <v>9</v>
      </c>
      <c r="B121" s="7"/>
      <c r="C121" s="112">
        <v>0</v>
      </c>
      <c r="D121" s="140">
        <v>17.5</v>
      </c>
      <c r="E121" s="339">
        <f t="shared" ref="E121:E128" si="4">C121*D121</f>
        <v>0</v>
      </c>
      <c r="F121" s="2"/>
    </row>
    <row r="122" spans="1:19" x14ac:dyDescent="0.2">
      <c r="A122" s="289" t="s">
        <v>328</v>
      </c>
      <c r="B122" s="7"/>
      <c r="C122" s="112">
        <v>0</v>
      </c>
      <c r="D122" s="140">
        <v>20</v>
      </c>
      <c r="E122" s="339">
        <f t="shared" si="4"/>
        <v>0</v>
      </c>
      <c r="F122" s="2"/>
    </row>
    <row r="123" spans="1:19" x14ac:dyDescent="0.2">
      <c r="A123" s="289"/>
      <c r="B123" s="7"/>
      <c r="C123" s="112"/>
      <c r="D123" s="140">
        <v>0</v>
      </c>
      <c r="E123" s="339">
        <f t="shared" si="4"/>
        <v>0</v>
      </c>
      <c r="F123" s="2"/>
    </row>
    <row r="124" spans="1:19" x14ac:dyDescent="0.2">
      <c r="A124" s="289"/>
      <c r="B124" s="7"/>
      <c r="C124" s="112"/>
      <c r="D124" s="140">
        <v>0</v>
      </c>
      <c r="E124" s="339">
        <f t="shared" si="4"/>
        <v>0</v>
      </c>
      <c r="F124" s="2"/>
    </row>
    <row r="125" spans="1:19" ht="14.25" customHeight="1" x14ac:dyDescent="0.2">
      <c r="A125" s="303" t="s">
        <v>108</v>
      </c>
      <c r="B125" s="7"/>
      <c r="C125" s="112">
        <v>0</v>
      </c>
      <c r="D125" s="140">
        <v>18</v>
      </c>
      <c r="E125" s="339">
        <f t="shared" si="4"/>
        <v>0</v>
      </c>
      <c r="F125" s="2"/>
    </row>
    <row r="126" spans="1:19" ht="14.25" customHeight="1" x14ac:dyDescent="0.2">
      <c r="A126" s="303"/>
      <c r="B126" s="7"/>
      <c r="C126" s="112"/>
      <c r="D126" s="140">
        <v>0</v>
      </c>
      <c r="E126" s="339">
        <v>0</v>
      </c>
      <c r="F126" s="2"/>
    </row>
    <row r="127" spans="1:19" ht="14.25" customHeight="1" x14ac:dyDescent="0.2">
      <c r="A127" s="303"/>
      <c r="B127" s="7"/>
      <c r="C127" s="112"/>
      <c r="D127" s="140">
        <v>0</v>
      </c>
      <c r="E127" s="339">
        <v>0</v>
      </c>
      <c r="F127" s="2"/>
    </row>
    <row r="128" spans="1:19" ht="12" customHeight="1" x14ac:dyDescent="0.2">
      <c r="A128" s="303"/>
      <c r="B128" s="5"/>
      <c r="C128" s="112"/>
      <c r="D128" s="140">
        <v>0</v>
      </c>
      <c r="E128" s="339">
        <f t="shared" si="4"/>
        <v>0</v>
      </c>
      <c r="F128" s="2"/>
    </row>
    <row r="129" spans="1:19" ht="12.75" customHeight="1" x14ac:dyDescent="0.2">
      <c r="A129" s="289"/>
      <c r="B129" s="399"/>
      <c r="C129" s="112"/>
      <c r="D129" s="140">
        <v>0</v>
      </c>
      <c r="E129" s="343">
        <f>C129*D129</f>
        <v>0</v>
      </c>
      <c r="F129" s="2"/>
    </row>
    <row r="130" spans="1:19" ht="12" customHeight="1" x14ac:dyDescent="0.2">
      <c r="A130" s="394" t="s">
        <v>184</v>
      </c>
      <c r="B130" s="395"/>
      <c r="C130" s="396"/>
      <c r="D130" s="398"/>
      <c r="E130" s="348">
        <f>SUM(E120:E129)</f>
        <v>0</v>
      </c>
      <c r="F130" s="2"/>
      <c r="H130" s="563"/>
      <c r="I130" s="563" t="s">
        <v>337</v>
      </c>
    </row>
    <row r="131" spans="1:19" ht="12" customHeight="1" x14ac:dyDescent="0.2">
      <c r="A131" s="15"/>
      <c r="B131" s="5"/>
      <c r="C131" s="16"/>
      <c r="D131" s="5"/>
      <c r="E131" s="186"/>
      <c r="F131" s="2"/>
      <c r="H131" s="564"/>
      <c r="I131" s="564" t="s">
        <v>357</v>
      </c>
    </row>
    <row r="132" spans="1:19" ht="12.75" customHeight="1" x14ac:dyDescent="0.2">
      <c r="A132" s="22" t="s">
        <v>221</v>
      </c>
      <c r="B132" s="5"/>
      <c r="C132" s="310" t="s">
        <v>313</v>
      </c>
      <c r="D132" s="310" t="s">
        <v>256</v>
      </c>
      <c r="E132" s="91" t="s">
        <v>241</v>
      </c>
      <c r="F132" s="2"/>
    </row>
    <row r="133" spans="1:19" ht="12.75" customHeight="1" x14ac:dyDescent="0.2">
      <c r="A133" s="285" t="s">
        <v>348</v>
      </c>
      <c r="B133" s="5"/>
      <c r="C133" s="112">
        <v>4</v>
      </c>
      <c r="D133" s="141">
        <v>17</v>
      </c>
      <c r="E133" s="343">
        <f>C133*D133</f>
        <v>68</v>
      </c>
      <c r="F133" s="2"/>
      <c r="H133" s="563"/>
      <c r="I133" s="563" t="s">
        <v>335</v>
      </c>
    </row>
    <row r="134" spans="1:19" ht="12.75" customHeight="1" x14ac:dyDescent="0.2">
      <c r="A134" s="289" t="s">
        <v>349</v>
      </c>
      <c r="B134" s="63"/>
      <c r="C134" s="112">
        <v>4</v>
      </c>
      <c r="D134" s="141">
        <v>14</v>
      </c>
      <c r="E134" s="343">
        <f t="shared" ref="E134:E140" si="5">C134*D134</f>
        <v>56</v>
      </c>
      <c r="F134" s="2"/>
      <c r="H134" s="564"/>
      <c r="I134" s="564" t="s">
        <v>336</v>
      </c>
      <c r="S134" s="32"/>
    </row>
    <row r="135" spans="1:19" ht="12.75" customHeight="1" x14ac:dyDescent="0.2">
      <c r="A135" s="289" t="s">
        <v>351</v>
      </c>
      <c r="B135" s="7"/>
      <c r="C135" s="112">
        <v>4</v>
      </c>
      <c r="D135" s="141">
        <v>55</v>
      </c>
      <c r="E135" s="343">
        <f t="shared" si="5"/>
        <v>220</v>
      </c>
      <c r="F135" s="2"/>
      <c r="I135" s="57" t="s">
        <v>359</v>
      </c>
      <c r="S135" s="32"/>
    </row>
    <row r="136" spans="1:19" ht="12.75" customHeight="1" x14ac:dyDescent="0.2">
      <c r="A136" s="289"/>
      <c r="B136" s="63"/>
      <c r="C136" s="112"/>
      <c r="D136" s="141">
        <v>0</v>
      </c>
      <c r="E136" s="343">
        <f t="shared" si="5"/>
        <v>0</v>
      </c>
      <c r="F136" s="2"/>
      <c r="H136" s="563"/>
      <c r="S136" s="32"/>
    </row>
    <row r="137" spans="1:19" ht="12.75" customHeight="1" x14ac:dyDescent="0.2">
      <c r="A137" s="289"/>
      <c r="B137" s="63"/>
      <c r="C137" s="112"/>
      <c r="D137" s="141">
        <v>0</v>
      </c>
      <c r="E137" s="343">
        <f t="shared" si="5"/>
        <v>0</v>
      </c>
      <c r="F137" s="2"/>
      <c r="H137" s="564"/>
      <c r="I137" t="s">
        <v>360</v>
      </c>
      <c r="S137" s="32"/>
    </row>
    <row r="138" spans="1:19" ht="12.75" customHeight="1" x14ac:dyDescent="0.2">
      <c r="A138" s="289"/>
      <c r="B138" s="63"/>
      <c r="C138" s="112"/>
      <c r="D138" s="141">
        <v>0</v>
      </c>
      <c r="E138" s="343">
        <f t="shared" si="5"/>
        <v>0</v>
      </c>
      <c r="F138" s="2"/>
      <c r="I138" s="564" t="s">
        <v>361</v>
      </c>
      <c r="S138" s="32"/>
    </row>
    <row r="139" spans="1:19" ht="12.75" customHeight="1" x14ac:dyDescent="0.2">
      <c r="A139" s="289"/>
      <c r="B139" s="63"/>
      <c r="C139" s="112"/>
      <c r="D139" s="141">
        <v>0</v>
      </c>
      <c r="E139" s="343">
        <f t="shared" si="5"/>
        <v>0</v>
      </c>
      <c r="F139" s="2"/>
      <c r="H139" s="563"/>
      <c r="S139" s="32"/>
    </row>
    <row r="140" spans="1:19" ht="12.75" customHeight="1" x14ac:dyDescent="0.2">
      <c r="A140" s="289"/>
      <c r="B140" s="402"/>
      <c r="C140" s="112"/>
      <c r="D140" s="140">
        <v>0</v>
      </c>
      <c r="E140" s="343">
        <f t="shared" si="5"/>
        <v>0</v>
      </c>
      <c r="F140" s="2"/>
      <c r="H140" s="564"/>
      <c r="I140" s="563" t="s">
        <v>338</v>
      </c>
      <c r="S140" s="32"/>
    </row>
    <row r="141" spans="1:19" ht="12.75" customHeight="1" x14ac:dyDescent="0.2">
      <c r="A141" s="253" t="s">
        <v>222</v>
      </c>
      <c r="B141" s="404"/>
      <c r="C141" s="400"/>
      <c r="D141" s="405"/>
      <c r="E141" s="406">
        <f>SUM(E133:E140)</f>
        <v>344</v>
      </c>
      <c r="F141" s="2"/>
      <c r="I141" s="564" t="s">
        <v>339</v>
      </c>
      <c r="S141" s="32"/>
    </row>
    <row r="142" spans="1:19" ht="12.75" customHeight="1" x14ac:dyDescent="0.2">
      <c r="A142" s="185"/>
      <c r="B142" s="185"/>
      <c r="C142" s="65"/>
      <c r="D142" s="235"/>
      <c r="E142" s="145"/>
      <c r="F142" s="58"/>
      <c r="S142" s="32"/>
    </row>
    <row r="143" spans="1:19" ht="12.75" customHeight="1" x14ac:dyDescent="0.2">
      <c r="A143" s="288" t="s">
        <v>272</v>
      </c>
      <c r="B143" s="324" t="s">
        <v>312</v>
      </c>
      <c r="C143" s="320" t="s">
        <v>269</v>
      </c>
      <c r="D143" s="321" t="s">
        <v>268</v>
      </c>
      <c r="E143" s="91" t="s">
        <v>241</v>
      </c>
      <c r="F143" s="2"/>
      <c r="I143" s="563" t="s">
        <v>340</v>
      </c>
      <c r="S143" s="32"/>
    </row>
    <row r="144" spans="1:19" ht="12.75" customHeight="1" x14ac:dyDescent="0.2">
      <c r="A144" s="289" t="s">
        <v>161</v>
      </c>
      <c r="B144" s="297"/>
      <c r="C144" s="112"/>
      <c r="D144" s="140">
        <v>0</v>
      </c>
      <c r="E144" s="343">
        <f t="shared" ref="E144:E145" si="6">IFERROR((D144/C144)*B144,0)</f>
        <v>0</v>
      </c>
      <c r="F144" s="2"/>
      <c r="I144" s="564" t="s">
        <v>358</v>
      </c>
      <c r="S144" s="32"/>
    </row>
    <row r="145" spans="1:19" ht="12.75" customHeight="1" x14ac:dyDescent="0.2">
      <c r="A145" s="289"/>
      <c r="B145" s="297"/>
      <c r="C145" s="112"/>
      <c r="D145" s="141">
        <v>0</v>
      </c>
      <c r="E145" s="343">
        <f t="shared" si="6"/>
        <v>0</v>
      </c>
      <c r="F145" s="2"/>
      <c r="S145" s="32"/>
    </row>
    <row r="146" spans="1:19" ht="12.75" customHeight="1" x14ac:dyDescent="0.2">
      <c r="A146" s="289"/>
      <c r="B146" s="297">
        <v>3</v>
      </c>
      <c r="C146" s="112"/>
      <c r="D146" s="141">
        <v>0</v>
      </c>
      <c r="E146" s="343">
        <f>IFERROR((D146/C146)*B146,0)</f>
        <v>0</v>
      </c>
      <c r="F146" s="2"/>
      <c r="S146" s="32"/>
    </row>
    <row r="147" spans="1:19" ht="12.75" customHeight="1" x14ac:dyDescent="0.2">
      <c r="A147" s="289"/>
      <c r="B147" s="297"/>
      <c r="C147" s="112"/>
      <c r="D147" s="141">
        <v>0</v>
      </c>
      <c r="E147" s="343">
        <f t="shared" ref="E147:E151" si="7">IFERROR((D147/C147)*B147,0)</f>
        <v>0</v>
      </c>
      <c r="F147" s="2"/>
      <c r="S147" s="32"/>
    </row>
    <row r="148" spans="1:19" ht="12.75" customHeight="1" x14ac:dyDescent="0.2">
      <c r="A148" s="289"/>
      <c r="B148" s="297"/>
      <c r="C148" s="112"/>
      <c r="D148" s="141">
        <v>0</v>
      </c>
      <c r="E148" s="343">
        <f t="shared" si="7"/>
        <v>0</v>
      </c>
      <c r="F148" s="2"/>
      <c r="S148" s="32"/>
    </row>
    <row r="149" spans="1:19" ht="12.75" customHeight="1" x14ac:dyDescent="0.2">
      <c r="A149" s="289"/>
      <c r="B149" s="297"/>
      <c r="C149" s="112"/>
      <c r="D149" s="141">
        <v>0</v>
      </c>
      <c r="E149" s="343">
        <f t="shared" si="7"/>
        <v>0</v>
      </c>
      <c r="F149" s="2"/>
      <c r="S149" s="32"/>
    </row>
    <row r="150" spans="1:19" ht="12.75" customHeight="1" x14ac:dyDescent="0.2">
      <c r="A150" s="326"/>
      <c r="B150" s="297"/>
      <c r="C150" s="123"/>
      <c r="D150" s="259">
        <v>0</v>
      </c>
      <c r="E150" s="343">
        <f t="shared" si="7"/>
        <v>0</v>
      </c>
      <c r="F150" s="2"/>
      <c r="S150" s="32"/>
    </row>
    <row r="151" spans="1:19" ht="12.75" customHeight="1" x14ac:dyDescent="0.2">
      <c r="A151" s="289"/>
      <c r="B151" s="297"/>
      <c r="C151" s="112"/>
      <c r="D151" s="140">
        <v>0</v>
      </c>
      <c r="E151" s="343">
        <f t="shared" si="7"/>
        <v>0</v>
      </c>
      <c r="F151" s="2"/>
      <c r="S151" s="32"/>
    </row>
    <row r="152" spans="1:19" ht="12.75" customHeight="1" x14ac:dyDescent="0.2">
      <c r="A152" s="411" t="s">
        <v>223</v>
      </c>
      <c r="B152" s="415"/>
      <c r="C152" s="413"/>
      <c r="D152" s="414"/>
      <c r="E152" s="348">
        <f>SUM(E144:E151)</f>
        <v>0</v>
      </c>
      <c r="F152" s="2"/>
      <c r="S152" s="32"/>
    </row>
    <row r="153" spans="1:19" s="42" customFormat="1" ht="12.75" customHeight="1" x14ac:dyDescent="0.2">
      <c r="A153" s="185"/>
      <c r="B153" s="185"/>
      <c r="C153" s="65"/>
      <c r="D153" s="235"/>
      <c r="E153" s="145"/>
      <c r="F153" s="13"/>
      <c r="S153" s="283"/>
    </row>
    <row r="154" spans="1:19" s="56" customFormat="1" ht="12.75" customHeight="1" x14ac:dyDescent="0.2">
      <c r="A154" s="359" t="s">
        <v>310</v>
      </c>
      <c r="B154" s="199"/>
      <c r="C154" s="320" t="s">
        <v>311</v>
      </c>
      <c r="D154" s="332" t="s">
        <v>302</v>
      </c>
      <c r="E154" s="145"/>
      <c r="F154" s="58"/>
      <c r="S154" s="200"/>
    </row>
    <row r="155" spans="1:19" ht="12.75" customHeight="1" x14ac:dyDescent="0.2">
      <c r="A155" s="289"/>
      <c r="B155" s="63"/>
      <c r="C155" s="112"/>
      <c r="D155" s="140">
        <v>0</v>
      </c>
      <c r="E155" s="343">
        <f>C155*D155</f>
        <v>0</v>
      </c>
      <c r="F155" s="2"/>
      <c r="S155" s="32"/>
    </row>
    <row r="156" spans="1:19" ht="12.75" customHeight="1" x14ac:dyDescent="0.2">
      <c r="A156" s="289" t="s">
        <v>161</v>
      </c>
      <c r="B156" s="63"/>
      <c r="C156" s="112"/>
      <c r="D156" s="141">
        <v>0</v>
      </c>
      <c r="E156" s="343">
        <f t="shared" ref="E156:E161" si="8">C156*D156</f>
        <v>0</v>
      </c>
      <c r="F156" s="2"/>
      <c r="S156" s="32"/>
    </row>
    <row r="157" spans="1:19" ht="12.75" customHeight="1" x14ac:dyDescent="0.2">
      <c r="A157" s="289"/>
      <c r="B157" s="63"/>
      <c r="C157" s="112"/>
      <c r="D157" s="141">
        <v>0</v>
      </c>
      <c r="E157" s="343">
        <f t="shared" si="8"/>
        <v>0</v>
      </c>
      <c r="F157" s="2"/>
      <c r="S157" s="32"/>
    </row>
    <row r="158" spans="1:19" ht="12.75" customHeight="1" x14ac:dyDescent="0.2">
      <c r="A158" s="289"/>
      <c r="B158" s="63"/>
      <c r="C158" s="112"/>
      <c r="D158" s="141">
        <v>0</v>
      </c>
      <c r="E158" s="343">
        <f t="shared" si="8"/>
        <v>0</v>
      </c>
      <c r="F158" s="2"/>
      <c r="S158" s="32"/>
    </row>
    <row r="159" spans="1:19" ht="12.75" customHeight="1" x14ac:dyDescent="0.2">
      <c r="A159" s="289"/>
      <c r="B159" s="63"/>
      <c r="C159" s="112"/>
      <c r="D159" s="141">
        <v>0</v>
      </c>
      <c r="E159" s="343">
        <f t="shared" si="8"/>
        <v>0</v>
      </c>
      <c r="F159" s="2"/>
      <c r="S159" s="32"/>
    </row>
    <row r="160" spans="1:19" ht="12.75" customHeight="1" x14ac:dyDescent="0.2">
      <c r="A160" s="289"/>
      <c r="B160" s="63"/>
      <c r="C160" s="112"/>
      <c r="D160" s="141">
        <v>0</v>
      </c>
      <c r="E160" s="343">
        <f t="shared" si="8"/>
        <v>0</v>
      </c>
      <c r="F160" s="2"/>
      <c r="S160" s="32"/>
    </row>
    <row r="161" spans="1:19" ht="12.75" customHeight="1" x14ac:dyDescent="0.2">
      <c r="A161" s="289"/>
      <c r="B161" s="402"/>
      <c r="C161" s="112"/>
      <c r="D161" s="140">
        <v>0</v>
      </c>
      <c r="E161" s="343">
        <f t="shared" si="8"/>
        <v>0</v>
      </c>
      <c r="F161" s="2"/>
      <c r="S161" s="32"/>
    </row>
    <row r="162" spans="1:19" ht="12.75" customHeight="1" x14ac:dyDescent="0.2">
      <c r="A162" s="410" t="s">
        <v>224</v>
      </c>
      <c r="B162" s="404"/>
      <c r="C162" s="400"/>
      <c r="D162" s="405"/>
      <c r="E162" s="348">
        <f>SUM(E155:E161)</f>
        <v>0</v>
      </c>
      <c r="F162" s="2"/>
      <c r="S162" s="32"/>
    </row>
    <row r="163" spans="1:19" s="42" customFormat="1" ht="12.75" customHeight="1" x14ac:dyDescent="0.2">
      <c r="A163" s="185"/>
      <c r="B163" s="185"/>
      <c r="C163" s="65"/>
      <c r="D163" s="235"/>
      <c r="E163" s="145"/>
      <c r="F163" s="13"/>
      <c r="S163" s="283"/>
    </row>
    <row r="164" spans="1:19" s="56" customFormat="1" ht="12.75" customHeight="1" x14ac:dyDescent="0.2">
      <c r="A164" s="359" t="s">
        <v>274</v>
      </c>
      <c r="B164" s="185"/>
      <c r="C164" s="320" t="s">
        <v>309</v>
      </c>
      <c r="D164" s="321" t="s">
        <v>240</v>
      </c>
      <c r="E164" s="145"/>
      <c r="F164" s="58"/>
      <c r="S164" s="200"/>
    </row>
    <row r="165" spans="1:19" ht="12.75" customHeight="1" x14ac:dyDescent="0.2">
      <c r="A165" s="289"/>
      <c r="B165" s="63"/>
      <c r="C165" s="112"/>
      <c r="D165" s="140">
        <v>0</v>
      </c>
      <c r="E165" s="343">
        <f>C165*D165</f>
        <v>0</v>
      </c>
      <c r="F165" s="2"/>
      <c r="S165" s="32"/>
    </row>
    <row r="166" spans="1:19" ht="12.75" customHeight="1" x14ac:dyDescent="0.2">
      <c r="A166" s="289"/>
      <c r="B166" s="63"/>
      <c r="C166" s="112"/>
      <c r="D166" s="140">
        <v>0</v>
      </c>
      <c r="E166" s="343">
        <f t="shared" ref="E166:E171" si="9">C166*D166</f>
        <v>0</v>
      </c>
      <c r="F166" s="2"/>
      <c r="S166" s="32"/>
    </row>
    <row r="167" spans="1:19" ht="12.75" customHeight="1" x14ac:dyDescent="0.2">
      <c r="A167" s="289"/>
      <c r="B167" s="63"/>
      <c r="C167" s="112"/>
      <c r="D167" s="140">
        <v>0</v>
      </c>
      <c r="E167" s="343">
        <f t="shared" si="9"/>
        <v>0</v>
      </c>
      <c r="F167" s="2"/>
      <c r="S167" s="32"/>
    </row>
    <row r="168" spans="1:19" ht="12.75" customHeight="1" x14ac:dyDescent="0.2">
      <c r="A168" s="289"/>
      <c r="B168" s="63"/>
      <c r="C168" s="112"/>
      <c r="D168" s="140">
        <v>0</v>
      </c>
      <c r="E168" s="343">
        <f t="shared" si="9"/>
        <v>0</v>
      </c>
      <c r="F168" s="2"/>
      <c r="S168" s="32"/>
    </row>
    <row r="169" spans="1:19" ht="12.75" customHeight="1" x14ac:dyDescent="0.2">
      <c r="A169" s="289"/>
      <c r="B169" s="63"/>
      <c r="C169" s="112"/>
      <c r="D169" s="140">
        <v>0</v>
      </c>
      <c r="E169" s="343">
        <f t="shared" si="9"/>
        <v>0</v>
      </c>
      <c r="F169" s="2"/>
      <c r="S169" s="32"/>
    </row>
    <row r="170" spans="1:19" ht="12.75" customHeight="1" x14ac:dyDescent="0.2">
      <c r="A170" s="326"/>
      <c r="B170" s="63"/>
      <c r="C170" s="112"/>
      <c r="D170" s="281">
        <v>0</v>
      </c>
      <c r="E170" s="344">
        <f t="shared" si="9"/>
        <v>0</v>
      </c>
      <c r="F170" s="2"/>
      <c r="S170" s="32"/>
    </row>
    <row r="171" spans="1:19" ht="12.75" customHeight="1" x14ac:dyDescent="0.2">
      <c r="A171" s="289"/>
      <c r="B171" s="402"/>
      <c r="C171" s="112"/>
      <c r="D171" s="140">
        <v>0</v>
      </c>
      <c r="E171" s="343">
        <f t="shared" si="9"/>
        <v>0</v>
      </c>
      <c r="F171" s="2"/>
      <c r="S171" s="32"/>
    </row>
    <row r="172" spans="1:19" ht="12.75" customHeight="1" x14ac:dyDescent="0.2">
      <c r="A172" s="411" t="s">
        <v>225</v>
      </c>
      <c r="B172" s="412"/>
      <c r="C172" s="413"/>
      <c r="D172" s="414"/>
      <c r="E172" s="348">
        <f>SUM(E165:E171)</f>
        <v>0</v>
      </c>
      <c r="F172" s="2"/>
      <c r="S172" s="32"/>
    </row>
    <row r="173" spans="1:19" s="56" customFormat="1" ht="12.75" customHeight="1" x14ac:dyDescent="0.2">
      <c r="A173" s="185"/>
      <c r="B173" s="185"/>
      <c r="C173" s="65"/>
      <c r="D173" s="235"/>
      <c r="E173" s="145"/>
      <c r="F173" s="13"/>
      <c r="S173" s="200"/>
    </row>
    <row r="174" spans="1:19" ht="12.75" customHeight="1" x14ac:dyDescent="0.2">
      <c r="A174" s="288" t="s">
        <v>34</v>
      </c>
      <c r="B174" s="324" t="s">
        <v>276</v>
      </c>
      <c r="C174" s="320" t="s">
        <v>124</v>
      </c>
      <c r="D174" s="333" t="s">
        <v>254</v>
      </c>
      <c r="E174" s="91" t="s">
        <v>241</v>
      </c>
      <c r="F174" s="58"/>
      <c r="S174" s="32"/>
    </row>
    <row r="175" spans="1:19" ht="12.75" customHeight="1" x14ac:dyDescent="0.2">
      <c r="A175" s="289" t="s">
        <v>134</v>
      </c>
      <c r="B175" s="297">
        <v>15</v>
      </c>
      <c r="C175" s="112">
        <v>0</v>
      </c>
      <c r="D175" s="115">
        <v>4</v>
      </c>
      <c r="E175" s="343">
        <f>((C175*D175)*((C14+C15)/B175))</f>
        <v>0</v>
      </c>
      <c r="F175" s="2"/>
      <c r="S175" s="32"/>
    </row>
    <row r="176" spans="1:19" ht="12.75" customHeight="1" x14ac:dyDescent="0.2">
      <c r="A176" s="326"/>
      <c r="B176" s="297">
        <v>10</v>
      </c>
      <c r="C176" s="123"/>
      <c r="D176" s="259"/>
      <c r="E176" s="344">
        <f>((C176*D176)*(C16/B176))</f>
        <v>0</v>
      </c>
      <c r="F176" s="2"/>
      <c r="S176" s="32"/>
    </row>
    <row r="177" spans="1:19" ht="12.75" customHeight="1" x14ac:dyDescent="0.2">
      <c r="A177" s="239" t="s">
        <v>123</v>
      </c>
      <c r="B177" s="237"/>
      <c r="C177" s="217"/>
      <c r="D177" s="218"/>
      <c r="E177" s="348">
        <f>E141+E152+E162+E172+E175+E176</f>
        <v>344</v>
      </c>
      <c r="F177" s="2"/>
      <c r="S177" s="32"/>
    </row>
    <row r="178" spans="1:19" ht="12.75" customHeight="1" x14ac:dyDescent="0.2">
      <c r="A178" s="164" t="s">
        <v>32</v>
      </c>
      <c r="B178" s="209"/>
      <c r="C178" s="161"/>
      <c r="D178" s="162"/>
      <c r="E178" s="163"/>
      <c r="F178" s="210"/>
      <c r="S178" s="32"/>
    </row>
    <row r="179" spans="1:19" ht="12.75" customHeight="1" x14ac:dyDescent="0.2">
      <c r="A179" s="185"/>
      <c r="B179" s="334" t="s">
        <v>180</v>
      </c>
      <c r="C179" s="334" t="s">
        <v>277</v>
      </c>
      <c r="D179" s="335" t="s">
        <v>278</v>
      </c>
      <c r="E179" s="91" t="s">
        <v>241</v>
      </c>
      <c r="F179" s="13"/>
      <c r="S179" s="32"/>
    </row>
    <row r="180" spans="1:19" ht="12.75" customHeight="1" x14ac:dyDescent="0.2">
      <c r="A180" s="289" t="s">
        <v>213</v>
      </c>
      <c r="B180" s="309">
        <v>1</v>
      </c>
      <c r="C180" s="257">
        <v>260</v>
      </c>
      <c r="D180" s="258">
        <v>1000</v>
      </c>
      <c r="E180" s="376">
        <f>IFERROR(((D180/C180)*($C$14+$C$15))*B180,0)</f>
        <v>38.46153846153846</v>
      </c>
      <c r="F180" s="13"/>
      <c r="S180" s="32"/>
    </row>
    <row r="181" spans="1:19" ht="12.75" customHeight="1" x14ac:dyDescent="0.25">
      <c r="A181" s="289" t="s">
        <v>212</v>
      </c>
      <c r="B181" s="309">
        <v>0</v>
      </c>
      <c r="C181" s="112">
        <v>400</v>
      </c>
      <c r="D181" s="140">
        <v>0</v>
      </c>
      <c r="E181" s="343">
        <f t="shared" ref="E181:E182" si="10">IFERROR(((D181/C181)*($C$14+$C$15))*B181,0)</f>
        <v>0</v>
      </c>
      <c r="F181" s="13"/>
      <c r="H181" s="273" t="s">
        <v>144</v>
      </c>
      <c r="I181" s="262"/>
      <c r="J181" s="262"/>
      <c r="K181" s="262"/>
      <c r="L181" s="263"/>
      <c r="M181" s="264"/>
      <c r="S181" s="32"/>
    </row>
    <row r="182" spans="1:19" ht="12.75" customHeight="1" x14ac:dyDescent="0.25">
      <c r="A182" s="289" t="s">
        <v>182</v>
      </c>
      <c r="B182" s="309"/>
      <c r="C182" s="112"/>
      <c r="D182" s="140"/>
      <c r="E182" s="343">
        <f t="shared" si="10"/>
        <v>0</v>
      </c>
      <c r="F182" s="13"/>
      <c r="H182" s="265" t="s">
        <v>145</v>
      </c>
      <c r="I182" s="266"/>
      <c r="J182" s="266"/>
      <c r="K182" s="267" t="s">
        <v>154</v>
      </c>
      <c r="L182" s="263"/>
      <c r="M182" s="264"/>
      <c r="S182" s="32"/>
    </row>
    <row r="183" spans="1:19" ht="12.75" customHeight="1" x14ac:dyDescent="0.25">
      <c r="A183" s="279"/>
      <c r="B183" s="185" t="s">
        <v>181</v>
      </c>
      <c r="C183" s="201" t="s">
        <v>280</v>
      </c>
      <c r="D183" s="409" t="s">
        <v>279</v>
      </c>
      <c r="E183" s="156"/>
      <c r="F183" s="13"/>
      <c r="H183" s="268" t="s">
        <v>146</v>
      </c>
      <c r="I183" s="266"/>
      <c r="J183" s="266"/>
      <c r="K183" s="266" t="s">
        <v>147</v>
      </c>
      <c r="L183" s="266"/>
      <c r="M183" s="269"/>
      <c r="S183" s="32"/>
    </row>
    <row r="184" spans="1:19" ht="12.75" customHeight="1" x14ac:dyDescent="0.25">
      <c r="A184" s="289" t="s">
        <v>179</v>
      </c>
      <c r="B184" s="297"/>
      <c r="C184" s="112"/>
      <c r="D184" s="140"/>
      <c r="E184" s="343">
        <f>IFERROR(((D184/C184)*($C$14+$C$15))*B184,0)</f>
        <v>0</v>
      </c>
      <c r="F184" s="13"/>
      <c r="H184" s="268" t="s">
        <v>148</v>
      </c>
      <c r="I184" s="266"/>
      <c r="J184" s="266"/>
      <c r="K184" s="266" t="s">
        <v>149</v>
      </c>
      <c r="L184" s="266"/>
      <c r="M184" s="269"/>
      <c r="S184" s="32"/>
    </row>
    <row r="185" spans="1:19" ht="12.75" customHeight="1" x14ac:dyDescent="0.25">
      <c r="A185" s="185"/>
      <c r="B185" s="185"/>
      <c r="C185" s="69"/>
      <c r="D185" s="321" t="s">
        <v>155</v>
      </c>
      <c r="E185" s="91" t="s">
        <v>241</v>
      </c>
      <c r="F185" s="13"/>
      <c r="H185" s="268" t="s">
        <v>150</v>
      </c>
      <c r="I185" s="266"/>
      <c r="J185" s="266"/>
      <c r="K185" s="266" t="s">
        <v>151</v>
      </c>
      <c r="L185" s="266"/>
      <c r="M185" s="269"/>
      <c r="S185" s="32"/>
    </row>
    <row r="186" spans="1:19" ht="12.75" customHeight="1" x14ac:dyDescent="0.25">
      <c r="A186" s="185" t="s">
        <v>214</v>
      </c>
      <c r="B186" s="274"/>
      <c r="C186" s="65"/>
      <c r="D186" s="276">
        <v>0.1</v>
      </c>
      <c r="E186" s="349">
        <f>(E18)*D186</f>
        <v>135</v>
      </c>
      <c r="F186" s="13"/>
      <c r="H186" s="270" t="s">
        <v>152</v>
      </c>
      <c r="I186" s="271"/>
      <c r="J186" s="271"/>
      <c r="K186" s="271" t="s">
        <v>153</v>
      </c>
      <c r="L186" s="271"/>
      <c r="M186" s="272"/>
      <c r="S186" s="32"/>
    </row>
    <row r="187" spans="1:19" s="56" customFormat="1" ht="12.75" customHeight="1" x14ac:dyDescent="0.2">
      <c r="A187" s="205" t="s">
        <v>104</v>
      </c>
      <c r="B187" s="160"/>
      <c r="C187" s="206"/>
      <c r="D187" s="207"/>
      <c r="E187" s="208"/>
      <c r="F187" s="146"/>
      <c r="H187" s="275" t="s">
        <v>156</v>
      </c>
      <c r="S187" s="200"/>
    </row>
    <row r="188" spans="1:19" ht="12.75" customHeight="1" x14ac:dyDescent="0.2">
      <c r="A188" s="185"/>
      <c r="B188" s="185"/>
      <c r="C188" s="320" t="s">
        <v>125</v>
      </c>
      <c r="D188" s="321" t="s">
        <v>105</v>
      </c>
      <c r="E188" s="85" t="s">
        <v>241</v>
      </c>
      <c r="F188" s="2"/>
      <c r="G188" s="29"/>
      <c r="S188" s="32"/>
    </row>
    <row r="189" spans="1:19" ht="12.75" customHeight="1" x14ac:dyDescent="0.2">
      <c r="A189" s="365" t="s">
        <v>45</v>
      </c>
      <c r="B189" s="366"/>
      <c r="C189" s="240">
        <v>1.5</v>
      </c>
      <c r="D189" s="140">
        <v>15</v>
      </c>
      <c r="E189" s="343">
        <f>C189*D189</f>
        <v>22.5</v>
      </c>
      <c r="F189" s="2"/>
      <c r="S189" s="32"/>
    </row>
    <row r="190" spans="1:19" ht="12.75" customHeight="1" x14ac:dyDescent="0.2">
      <c r="A190" s="185"/>
      <c r="B190" s="185"/>
      <c r="C190" s="65"/>
      <c r="D190" s="66"/>
      <c r="E190" s="17"/>
      <c r="F190" s="2"/>
      <c r="S190" s="32"/>
    </row>
    <row r="191" spans="1:19" ht="12.75" customHeight="1" x14ac:dyDescent="0.2">
      <c r="A191" s="209"/>
      <c r="B191" s="167"/>
      <c r="C191" s="161"/>
      <c r="D191" s="162"/>
      <c r="E191" s="211"/>
      <c r="F191" s="146"/>
    </row>
    <row r="192" spans="1:19" ht="12.75" customHeight="1" x14ac:dyDescent="0.2">
      <c r="A192" s="52" t="s">
        <v>113</v>
      </c>
      <c r="B192" s="2"/>
      <c r="C192" s="327">
        <v>5.1999999999999998E-2</v>
      </c>
      <c r="D192" s="2"/>
      <c r="E192" s="339">
        <f>(C192*0.67)*(E116+(0.2*E130))</f>
        <v>18.324098000000003</v>
      </c>
      <c r="F192" s="2"/>
      <c r="G192" s="136" t="s">
        <v>59</v>
      </c>
      <c r="H192" s="137"/>
      <c r="I192" s="137"/>
      <c r="J192" s="137"/>
      <c r="K192" s="137"/>
      <c r="L192" s="138"/>
    </row>
    <row r="193" spans="1:13" ht="12.75" customHeight="1" x14ac:dyDescent="0.2">
      <c r="A193" s="23"/>
      <c r="B193" s="2"/>
      <c r="C193" s="2"/>
      <c r="D193" s="2"/>
      <c r="E193" s="30"/>
      <c r="F193" s="2"/>
      <c r="G193" s="20"/>
      <c r="H193" s="20"/>
      <c r="I193" s="70"/>
      <c r="J193" s="70"/>
      <c r="K193" s="20"/>
      <c r="L193" s="70"/>
      <c r="M193" s="71"/>
    </row>
    <row r="194" spans="1:13" ht="12.75" customHeight="1" x14ac:dyDescent="0.2">
      <c r="A194" s="52" t="s">
        <v>85</v>
      </c>
      <c r="B194" s="68"/>
      <c r="C194" s="69"/>
      <c r="D194" s="66"/>
      <c r="E194" s="341">
        <f>E18*0.05</f>
        <v>67.5</v>
      </c>
      <c r="F194" s="58"/>
    </row>
    <row r="195" spans="1:13" ht="12.75" customHeight="1" x14ac:dyDescent="0.2">
      <c r="A195" s="67" t="s">
        <v>232</v>
      </c>
      <c r="B195" s="2"/>
      <c r="C195" s="24"/>
      <c r="E195" s="341">
        <f>E116+E130+E177+E180+E181+E182+E184+E189+E192</f>
        <v>949.23563646153855</v>
      </c>
      <c r="F195" s="2"/>
    </row>
    <row r="196" spans="1:13" ht="12.75" customHeight="1" x14ac:dyDescent="0.2">
      <c r="A196" s="67" t="s">
        <v>231</v>
      </c>
      <c r="B196" s="2"/>
      <c r="C196" s="2"/>
      <c r="D196" s="24"/>
      <c r="E196" s="341">
        <f>E18-E195</f>
        <v>400.76436353846145</v>
      </c>
      <c r="F196" s="2"/>
    </row>
    <row r="197" spans="1:13" ht="14.25" x14ac:dyDescent="0.2">
      <c r="A197" s="33"/>
      <c r="B197" s="2"/>
      <c r="C197" s="85"/>
      <c r="D197" s="85"/>
      <c r="E197" s="86"/>
    </row>
    <row r="198" spans="1:13" x14ac:dyDescent="0.2">
      <c r="A198" s="252" t="s">
        <v>219</v>
      </c>
      <c r="B198" s="7"/>
      <c r="C198" s="65"/>
      <c r="D198" s="84"/>
      <c r="E198" s="350">
        <f>E195/(C14+C15)</f>
        <v>94.923563646153852</v>
      </c>
    </row>
    <row r="199" spans="1:13" x14ac:dyDescent="0.2">
      <c r="A199" s="329" t="s">
        <v>220</v>
      </c>
      <c r="B199" s="7"/>
      <c r="C199" s="2"/>
      <c r="D199" s="2"/>
      <c r="E199" s="341">
        <f>E195/(C16+C17)</f>
        <v>189.8471272923077</v>
      </c>
    </row>
    <row r="200" spans="1:13" x14ac:dyDescent="0.2">
      <c r="A200" s="6"/>
      <c r="B200" s="7"/>
      <c r="C200" s="2"/>
      <c r="D200" s="2"/>
      <c r="E200" s="2"/>
    </row>
    <row r="201" spans="1:13" x14ac:dyDescent="0.2">
      <c r="C201" s="595" t="s">
        <v>26</v>
      </c>
      <c r="D201" s="596"/>
      <c r="E201" s="596"/>
      <c r="F201" s="596"/>
      <c r="G201" s="597"/>
    </row>
    <row r="202" spans="1:13" x14ac:dyDescent="0.2">
      <c r="C202" s="558"/>
      <c r="D202" s="559"/>
      <c r="E202" s="559"/>
      <c r="F202" s="559"/>
      <c r="G202" s="560"/>
    </row>
    <row r="203" spans="1:13" x14ac:dyDescent="0.2">
      <c r="C203" s="600" t="s">
        <v>18</v>
      </c>
      <c r="D203" s="601"/>
      <c r="E203" s="601"/>
      <c r="F203" s="601"/>
      <c r="G203" s="602"/>
    </row>
    <row r="204" spans="1:13" x14ac:dyDescent="0.2">
      <c r="A204" s="598" t="s">
        <v>24</v>
      </c>
      <c r="B204" s="599"/>
      <c r="C204" s="35"/>
      <c r="D204" s="35"/>
      <c r="E204" s="35"/>
      <c r="F204" s="36"/>
      <c r="G204" s="36"/>
    </row>
    <row r="205" spans="1:13" x14ac:dyDescent="0.2">
      <c r="A205" s="357" t="s">
        <v>27</v>
      </c>
      <c r="B205" s="561" t="s">
        <v>303</v>
      </c>
      <c r="C205" s="600" t="s">
        <v>26</v>
      </c>
      <c r="D205" s="601"/>
      <c r="E205" s="601"/>
      <c r="F205" s="601"/>
      <c r="G205" s="602"/>
    </row>
    <row r="206" spans="1:13" x14ac:dyDescent="0.2">
      <c r="A206" s="38" t="s">
        <v>21</v>
      </c>
      <c r="B206" s="39">
        <f>C14*1.2</f>
        <v>12</v>
      </c>
      <c r="C206" s="40">
        <f>(C$211*$B206)-$E$195</f>
        <v>346.76436353846145</v>
      </c>
      <c r="D206" s="40">
        <f>(D$211*B206)-$E$195</f>
        <v>508.76436353846145</v>
      </c>
      <c r="E206" s="40">
        <f>(E$211*$B206)-E$195</f>
        <v>670.76436353846145</v>
      </c>
      <c r="F206" s="41">
        <f>(F$211*$B206)-E$195</f>
        <v>832.76436353846145</v>
      </c>
      <c r="G206" s="41">
        <f>(G$211*B206)-E$195</f>
        <v>994.76436353846145</v>
      </c>
    </row>
    <row r="207" spans="1:13" x14ac:dyDescent="0.2">
      <c r="A207" s="38" t="s">
        <v>20</v>
      </c>
      <c r="B207" s="39">
        <f>C14*1.1</f>
        <v>11</v>
      </c>
      <c r="C207" s="40">
        <f>(C$211*B207)-$E$195</f>
        <v>238.76436353846145</v>
      </c>
      <c r="D207" s="40">
        <f>(D$211*B207)-$E$195</f>
        <v>387.26436353846145</v>
      </c>
      <c r="E207" s="40">
        <f>(E$211*$B207)-E$195</f>
        <v>535.76436353846145</v>
      </c>
      <c r="F207" s="41">
        <f>(F$211*$B207)-E$195</f>
        <v>684.26436353846145</v>
      </c>
      <c r="G207" s="41">
        <f>(G$211*B207)-E$195</f>
        <v>832.76436353846145</v>
      </c>
    </row>
    <row r="208" spans="1:13" x14ac:dyDescent="0.2">
      <c r="A208" s="250"/>
      <c r="B208" s="39">
        <f>C14</f>
        <v>10</v>
      </c>
      <c r="C208" s="40">
        <f>(C$211*B208)-$E$195</f>
        <v>130.76436353846145</v>
      </c>
      <c r="D208" s="40">
        <f>(D$211*B208)-$E$195</f>
        <v>265.76436353846145</v>
      </c>
      <c r="E208" s="43">
        <f>(E$211*$B208)-E$195</f>
        <v>400.76436353846145</v>
      </c>
      <c r="F208" s="41">
        <f>(F$211*$B208)-E$195</f>
        <v>535.76436353846145</v>
      </c>
      <c r="G208" s="41">
        <f>(G$211*B208)-E$195</f>
        <v>670.76436353846145</v>
      </c>
    </row>
    <row r="209" spans="1:7" x14ac:dyDescent="0.2">
      <c r="A209" s="38" t="s">
        <v>22</v>
      </c>
      <c r="B209" s="39">
        <f>C14*0.9</f>
        <v>9</v>
      </c>
      <c r="C209" s="40">
        <f>(C$211*B209)-$E$195</f>
        <v>22.764363538461453</v>
      </c>
      <c r="D209" s="40">
        <f>(D$211*B209)-$E$195</f>
        <v>144.26436353846145</v>
      </c>
      <c r="E209" s="40">
        <f>(E$211*$B209)-E$195</f>
        <v>265.76436353846145</v>
      </c>
      <c r="F209" s="41">
        <f>(F$211*$B209)-E$195</f>
        <v>387.26436353846145</v>
      </c>
      <c r="G209" s="41">
        <f>(G$211*B209)-E$195</f>
        <v>508.76436353846145</v>
      </c>
    </row>
    <row r="210" spans="1:7" x14ac:dyDescent="0.2">
      <c r="A210" s="38" t="s">
        <v>23</v>
      </c>
      <c r="B210" s="39">
        <f>C14*0.8</f>
        <v>8</v>
      </c>
      <c r="C210" s="40">
        <f>(C$211*B210)-$E$195</f>
        <v>-85.235636461538547</v>
      </c>
      <c r="D210" s="40">
        <f>(D$211*B210)-$E$195</f>
        <v>22.764363538461453</v>
      </c>
      <c r="E210" s="40">
        <f>(E$211*$B210)-E$195</f>
        <v>130.76436353846145</v>
      </c>
      <c r="F210" s="41">
        <f>(F$211*$B210)-E$195</f>
        <v>238.76436353846145</v>
      </c>
      <c r="G210" s="41">
        <f>(G$211*B210)-E$195</f>
        <v>346.76436353846145</v>
      </c>
    </row>
    <row r="211" spans="1:7" x14ac:dyDescent="0.2">
      <c r="A211" s="356" t="s">
        <v>25</v>
      </c>
      <c r="B211" s="351"/>
      <c r="C211" s="352">
        <f>D14*0.8</f>
        <v>108</v>
      </c>
      <c r="D211" s="352">
        <f>D14*0.9</f>
        <v>121.5</v>
      </c>
      <c r="E211" s="352">
        <f>D14</f>
        <v>135</v>
      </c>
      <c r="F211" s="352">
        <f>D14*1.1</f>
        <v>148.5</v>
      </c>
      <c r="G211" s="352">
        <f>D14*1.2</f>
        <v>162</v>
      </c>
    </row>
    <row r="212" spans="1:7" x14ac:dyDescent="0.2">
      <c r="A212" s="356" t="s">
        <v>19</v>
      </c>
      <c r="B212" s="351"/>
      <c r="C212" s="353" t="s">
        <v>23</v>
      </c>
      <c r="D212" s="353" t="s">
        <v>22</v>
      </c>
      <c r="E212" s="354"/>
      <c r="F212" s="353" t="s">
        <v>20</v>
      </c>
      <c r="G212" s="355" t="s">
        <v>21</v>
      </c>
    </row>
  </sheetData>
  <sheetProtection algorithmName="SHA-512" hashValue="PgHcojHGrVRA2FCLpIu1qvFXWZECrBNc1umzZavic7cIY/lpZyyWA/CuQQfLHReRUzptt8NLcC4IEGMeti4osw==" saltValue="RLZwP2NcoMMUdN77O7vEDw==" spinCount="100000" sheet="1" objects="1" scenarios="1"/>
  <mergeCells count="4">
    <mergeCell ref="C201:G201"/>
    <mergeCell ref="C203:G203"/>
    <mergeCell ref="A204:B204"/>
    <mergeCell ref="C205:G205"/>
  </mergeCells>
  <hyperlinks>
    <hyperlink ref="I134" r:id="rId1" xr:uid="{05A1C7F4-6E1C-49F6-A66F-BAEA2E67D819}"/>
    <hyperlink ref="I141" r:id="rId2" xr:uid="{2CBB187D-AF19-434A-BD84-C9C96F9D4B3A}"/>
    <hyperlink ref="I135" r:id="rId3" xr:uid="{71E607D8-06FF-4761-8E07-402123176025}"/>
    <hyperlink ref="I138" r:id="rId4" xr:uid="{976EED17-A51A-4927-A6CC-752AD5D75294}"/>
  </hyperlinks>
  <pageMargins left="0.7" right="0.7" top="0.75" bottom="0.75" header="0.3" footer="0.3"/>
  <pageSetup scale="39" fitToHeight="0" orientation="portrait" verticalDpi="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X212"/>
  <sheetViews>
    <sheetView workbookViewId="0">
      <selection activeCell="B11" sqref="B11"/>
    </sheetView>
  </sheetViews>
  <sheetFormatPr defaultColWidth="8.42578125" defaultRowHeight="12.75" x14ac:dyDescent="0.2"/>
  <cols>
    <col min="1" max="1" width="26.7109375" customWidth="1"/>
    <col min="2" max="2" width="17.85546875" customWidth="1"/>
    <col min="3" max="3" width="17.42578125" customWidth="1"/>
    <col min="4" max="4" width="15.140625" customWidth="1"/>
    <col min="5" max="5" width="11.28515625" customWidth="1"/>
    <col min="6" max="6" width="7.28515625" customWidth="1"/>
    <col min="7" max="7" width="13.42578125" customWidth="1"/>
    <col min="8" max="9" width="7.42578125" customWidth="1"/>
    <col min="10" max="10" width="8.42578125" customWidth="1"/>
    <col min="11" max="11" width="8" customWidth="1"/>
    <col min="12" max="12" width="13.7109375" customWidth="1"/>
  </cols>
  <sheetData>
    <row r="1" spans="1:14" ht="15.75" customHeight="1" x14ac:dyDescent="0.2">
      <c r="A1" s="29" t="s">
        <v>29</v>
      </c>
      <c r="E1" s="57"/>
    </row>
    <row r="2" spans="1:14" ht="8.25" customHeight="1" x14ac:dyDescent="0.2"/>
    <row r="3" spans="1:14" ht="15" customHeight="1" x14ac:dyDescent="0.2"/>
    <row r="4" spans="1:14" ht="8.25" customHeight="1" x14ac:dyDescent="0.2"/>
    <row r="5" spans="1:14" ht="18.75" customHeight="1" x14ac:dyDescent="0.25">
      <c r="A5" s="4" t="s">
        <v>330</v>
      </c>
      <c r="B5" s="2"/>
      <c r="D5" s="28"/>
      <c r="E5" s="286"/>
      <c r="F5" s="2"/>
      <c r="G5" s="2"/>
      <c r="H5" s="2"/>
      <c r="I5" s="2"/>
      <c r="J5" s="2"/>
      <c r="K5" s="2"/>
    </row>
    <row r="6" spans="1:14" ht="5.25" customHeight="1" x14ac:dyDescent="0.2">
      <c r="A6" s="2"/>
      <c r="B6" s="2"/>
      <c r="C6" s="2"/>
      <c r="D6" s="2"/>
      <c r="E6" s="2"/>
      <c r="F6" s="2"/>
      <c r="G6" s="2"/>
      <c r="H6" s="2"/>
      <c r="I6" s="2"/>
      <c r="J6" s="2"/>
      <c r="K6" s="2"/>
    </row>
    <row r="7" spans="1:14" x14ac:dyDescent="0.2">
      <c r="A7" s="44" t="s">
        <v>83</v>
      </c>
      <c r="B7" s="2"/>
      <c r="D7" s="2"/>
      <c r="E7" s="111"/>
      <c r="F7" s="2"/>
      <c r="G7" s="2"/>
      <c r="H7" s="2"/>
      <c r="I7" s="60"/>
      <c r="J7" s="2"/>
      <c r="K7" s="2"/>
    </row>
    <row r="8" spans="1:14" x14ac:dyDescent="0.2">
      <c r="A8" s="44" t="s">
        <v>229</v>
      </c>
      <c r="B8" s="2"/>
      <c r="D8" s="2"/>
      <c r="E8" s="340"/>
      <c r="F8" s="2"/>
      <c r="G8" s="2"/>
      <c r="H8" s="2"/>
      <c r="I8" s="2"/>
      <c r="J8" s="2"/>
      <c r="K8" s="2"/>
    </row>
    <row r="9" spans="1:14" x14ac:dyDescent="0.2">
      <c r="A9" s="44" t="s">
        <v>71</v>
      </c>
      <c r="B9" s="2"/>
      <c r="D9" s="2"/>
      <c r="E9" s="125"/>
      <c r="F9" s="2"/>
      <c r="G9" s="2"/>
      <c r="H9" s="2"/>
      <c r="I9" s="2"/>
      <c r="J9" s="2"/>
      <c r="K9" s="2"/>
    </row>
    <row r="10" spans="1:14" x14ac:dyDescent="0.2">
      <c r="A10" s="44"/>
      <c r="B10" s="2"/>
      <c r="C10" s="5"/>
      <c r="D10" s="2"/>
      <c r="E10" s="2"/>
      <c r="F10" s="2"/>
    </row>
    <row r="11" spans="1:14" ht="18" x14ac:dyDescent="0.25">
      <c r="A11" s="4" t="s">
        <v>344</v>
      </c>
      <c r="B11" s="594" t="s">
        <v>402</v>
      </c>
      <c r="C11" s="576"/>
      <c r="D11" s="2"/>
      <c r="E11" s="2"/>
      <c r="F11" s="2"/>
    </row>
    <row r="12" spans="1:14" x14ac:dyDescent="0.2">
      <c r="A12" s="178" t="s">
        <v>37</v>
      </c>
      <c r="B12" s="176"/>
      <c r="C12" s="177"/>
      <c r="D12" s="176"/>
      <c r="E12" s="176"/>
      <c r="F12" s="146"/>
    </row>
    <row r="13" spans="1:14" x14ac:dyDescent="0.2">
      <c r="A13" s="44"/>
      <c r="B13" s="310" t="s">
        <v>307</v>
      </c>
      <c r="C13" s="85" t="s">
        <v>308</v>
      </c>
      <c r="D13" s="310" t="s">
        <v>240</v>
      </c>
      <c r="E13" s="310" t="s">
        <v>237</v>
      </c>
      <c r="F13" s="2"/>
      <c r="H13" s="72" t="s">
        <v>171</v>
      </c>
      <c r="I13" s="72"/>
      <c r="J13" s="72"/>
      <c r="K13" s="72"/>
    </row>
    <row r="14" spans="1:14" x14ac:dyDescent="0.2">
      <c r="A14" s="67" t="s">
        <v>217</v>
      </c>
      <c r="B14" s="377">
        <v>0.15</v>
      </c>
      <c r="C14" s="240">
        <v>2.9</v>
      </c>
      <c r="D14" s="183">
        <v>200</v>
      </c>
      <c r="E14" s="339">
        <f>C14*D14</f>
        <v>580</v>
      </c>
      <c r="F14" s="2"/>
      <c r="H14" s="29" t="s">
        <v>187</v>
      </c>
      <c r="J14" s="56"/>
      <c r="K14" s="56"/>
      <c r="L14" s="183">
        <v>185</v>
      </c>
      <c r="N14" s="29" t="s">
        <v>188</v>
      </c>
    </row>
    <row r="15" spans="1:14" x14ac:dyDescent="0.2">
      <c r="A15" s="67" t="s">
        <v>218</v>
      </c>
      <c r="B15" s="377">
        <v>0.6</v>
      </c>
      <c r="C15" s="240">
        <v>0</v>
      </c>
      <c r="D15" s="183">
        <v>65</v>
      </c>
      <c r="E15" s="339">
        <f>C15*D15</f>
        <v>0</v>
      </c>
      <c r="F15" s="2"/>
      <c r="H15" s="29" t="s">
        <v>185</v>
      </c>
      <c r="L15" s="577">
        <v>0.5</v>
      </c>
    </row>
    <row r="16" spans="1:14" x14ac:dyDescent="0.2">
      <c r="A16" s="67" t="s">
        <v>215</v>
      </c>
      <c r="B16" s="2"/>
      <c r="C16" s="407">
        <f>C14*(1-B14)</f>
        <v>2.4649999999999999</v>
      </c>
      <c r="D16" s="2"/>
      <c r="E16" s="328"/>
      <c r="F16" s="2"/>
      <c r="H16" s="29" t="s">
        <v>186</v>
      </c>
      <c r="L16" s="408">
        <f>(L14/0.87)*(1-L15)</f>
        <v>106.32183908045977</v>
      </c>
    </row>
    <row r="17" spans="1:24" x14ac:dyDescent="0.2">
      <c r="A17" s="67" t="s">
        <v>216</v>
      </c>
      <c r="B17" s="2"/>
      <c r="C17" s="407">
        <f>C15*(1-B15)</f>
        <v>0</v>
      </c>
      <c r="D17" s="2"/>
      <c r="E17" s="328"/>
      <c r="F17" s="2"/>
      <c r="H17" s="29"/>
      <c r="L17" s="331"/>
    </row>
    <row r="18" spans="1:24" x14ac:dyDescent="0.2">
      <c r="A18" s="229" t="s">
        <v>200</v>
      </c>
      <c r="B18" s="230"/>
      <c r="C18" s="226"/>
      <c r="D18" s="230"/>
      <c r="E18" s="341">
        <f>SUM(E14:E15)</f>
        <v>580</v>
      </c>
      <c r="F18" s="2"/>
    </row>
    <row r="19" spans="1:24" x14ac:dyDescent="0.2">
      <c r="A19" s="178" t="s">
        <v>40</v>
      </c>
      <c r="B19" s="179"/>
      <c r="C19" s="180"/>
      <c r="D19" s="179"/>
      <c r="E19" s="179"/>
      <c r="F19" s="181"/>
    </row>
    <row r="20" spans="1:24" ht="12" customHeight="1" x14ac:dyDescent="0.2">
      <c r="A20" s="25"/>
      <c r="B20" s="7"/>
      <c r="C20" s="5"/>
      <c r="D20" s="7"/>
      <c r="E20" s="7"/>
      <c r="F20" s="2"/>
    </row>
    <row r="21" spans="1:24" x14ac:dyDescent="0.2">
      <c r="A21" s="168" t="s">
        <v>4</v>
      </c>
      <c r="B21" s="144"/>
      <c r="C21" s="167"/>
      <c r="D21" s="167"/>
      <c r="E21" s="167"/>
      <c r="F21" s="146"/>
      <c r="M21" s="56"/>
      <c r="N21" s="56"/>
      <c r="O21" s="56"/>
      <c r="P21" s="56"/>
    </row>
    <row r="22" spans="1:24" ht="15" customHeight="1" x14ac:dyDescent="0.2">
      <c r="A22" s="152" t="s">
        <v>88</v>
      </c>
      <c r="B22" s="153"/>
      <c r="C22" s="154"/>
      <c r="D22" s="154"/>
      <c r="E22" s="154"/>
      <c r="F22" s="151"/>
      <c r="G22" s="42"/>
      <c r="H22" s="108"/>
      <c r="I22" s="42"/>
      <c r="J22" s="108"/>
      <c r="K22" s="42"/>
      <c r="M22" s="73"/>
      <c r="N22" s="56"/>
      <c r="O22" s="56"/>
      <c r="P22" s="56"/>
    </row>
    <row r="23" spans="1:24" x14ac:dyDescent="0.2">
      <c r="A23" s="53"/>
      <c r="B23" s="91" t="s">
        <v>238</v>
      </c>
      <c r="C23" s="91" t="s">
        <v>239</v>
      </c>
      <c r="D23" s="91" t="s">
        <v>240</v>
      </c>
      <c r="E23" s="91" t="s">
        <v>241</v>
      </c>
      <c r="F23" s="2"/>
      <c r="G23" s="109"/>
      <c r="H23" s="100"/>
      <c r="I23" s="42"/>
      <c r="J23" s="100"/>
      <c r="K23" s="108"/>
      <c r="M23" s="73"/>
      <c r="N23" s="56"/>
      <c r="O23" s="56"/>
      <c r="P23" s="56"/>
    </row>
    <row r="24" spans="1:24" x14ac:dyDescent="0.2">
      <c r="A24" s="61" t="s">
        <v>304</v>
      </c>
      <c r="B24" s="297"/>
      <c r="C24" s="124">
        <v>0</v>
      </c>
      <c r="D24" s="140">
        <v>0</v>
      </c>
      <c r="E24" s="342">
        <f>((D24/2000)*B24*C24)</f>
        <v>0</v>
      </c>
      <c r="F24" s="2"/>
      <c r="G24" s="89"/>
      <c r="H24" s="10"/>
      <c r="I24" s="116"/>
      <c r="J24" s="10"/>
      <c r="K24" s="42"/>
      <c r="M24" s="56"/>
      <c r="N24" s="56"/>
      <c r="O24" s="73"/>
      <c r="P24" s="73"/>
      <c r="Q24" s="73"/>
      <c r="R24" s="73"/>
      <c r="S24" s="56"/>
      <c r="T24" s="56"/>
      <c r="U24" s="56"/>
      <c r="V24" s="56"/>
      <c r="W24" s="56"/>
      <c r="X24" s="56"/>
    </row>
    <row r="25" spans="1:24" x14ac:dyDescent="0.2">
      <c r="A25" s="61"/>
      <c r="B25" s="63"/>
      <c r="C25" s="75"/>
      <c r="D25" s="17"/>
      <c r="E25" s="74"/>
      <c r="F25" s="2"/>
      <c r="G25" s="89"/>
      <c r="H25" s="10"/>
      <c r="I25" s="116"/>
      <c r="J25" s="10"/>
      <c r="K25" s="42"/>
      <c r="M25" s="56"/>
      <c r="N25" s="56"/>
      <c r="O25" s="73"/>
      <c r="P25" s="73"/>
      <c r="Q25" s="73"/>
      <c r="R25" s="73"/>
      <c r="S25" s="56"/>
      <c r="T25" s="56"/>
      <c r="U25" s="56"/>
      <c r="V25" s="56"/>
      <c r="W25" s="56"/>
      <c r="X25" s="56"/>
    </row>
    <row r="26" spans="1:24" x14ac:dyDescent="0.2">
      <c r="A26" s="53"/>
      <c r="C26" s="91" t="s">
        <v>87</v>
      </c>
      <c r="D26" s="91" t="s">
        <v>240</v>
      </c>
      <c r="E26" s="91" t="s">
        <v>241</v>
      </c>
      <c r="F26" s="2"/>
      <c r="G26" s="109"/>
      <c r="H26" s="100"/>
      <c r="I26" s="42"/>
      <c r="J26" s="100"/>
      <c r="K26" s="108"/>
      <c r="M26" s="73"/>
      <c r="N26" s="56"/>
      <c r="O26" s="56"/>
      <c r="P26" s="56"/>
    </row>
    <row r="27" spans="1:24" x14ac:dyDescent="0.2">
      <c r="A27" s="298" t="s">
        <v>172</v>
      </c>
      <c r="B27" s="7"/>
      <c r="C27" s="112">
        <v>100</v>
      </c>
      <c r="D27" s="140">
        <v>800</v>
      </c>
      <c r="E27" s="343">
        <f>C27*(D27/2000)</f>
        <v>40</v>
      </c>
      <c r="F27" s="2"/>
      <c r="G27" s="14"/>
      <c r="H27" s="3"/>
      <c r="I27" s="42"/>
      <c r="J27" s="90"/>
      <c r="K27" s="42"/>
    </row>
    <row r="28" spans="1:24" x14ac:dyDescent="0.2">
      <c r="A28" s="298" t="s">
        <v>66</v>
      </c>
      <c r="B28" s="7"/>
      <c r="C28" s="123"/>
      <c r="D28" s="140">
        <v>0</v>
      </c>
      <c r="E28" s="344">
        <f>C28*(D28/2000)</f>
        <v>0</v>
      </c>
      <c r="F28" s="2"/>
      <c r="G28" s="14"/>
      <c r="H28" s="3"/>
      <c r="I28" s="42"/>
      <c r="J28" s="90"/>
      <c r="K28" s="42"/>
    </row>
    <row r="29" spans="1:24" x14ac:dyDescent="0.2">
      <c r="A29" s="299" t="s">
        <v>66</v>
      </c>
      <c r="B29" s="7"/>
      <c r="C29" s="123"/>
      <c r="D29" s="281"/>
      <c r="E29" s="344">
        <f>C29*(D29/2000)</f>
        <v>0</v>
      </c>
      <c r="F29" s="2"/>
      <c r="G29" s="14"/>
      <c r="H29" s="3"/>
      <c r="I29" s="42"/>
      <c r="J29" s="90"/>
      <c r="K29" s="42"/>
    </row>
    <row r="30" spans="1:24" x14ac:dyDescent="0.2">
      <c r="A30" s="298"/>
      <c r="B30" s="11"/>
      <c r="C30" s="112"/>
      <c r="D30" s="140"/>
      <c r="E30" s="343">
        <f>C30*(D30/2000)</f>
        <v>0</v>
      </c>
      <c r="F30" s="2"/>
      <c r="G30" s="14"/>
      <c r="H30" s="3"/>
      <c r="I30" s="42"/>
      <c r="J30" s="90"/>
      <c r="K30" s="42"/>
    </row>
    <row r="31" spans="1:24" x14ac:dyDescent="0.2">
      <c r="A31" s="147"/>
      <c r="B31" s="148"/>
      <c r="C31" s="65"/>
      <c r="D31" s="169"/>
      <c r="E31" s="145"/>
      <c r="F31" s="2"/>
      <c r="G31" s="14"/>
      <c r="H31" s="3"/>
      <c r="I31" s="42"/>
      <c r="J31" s="90"/>
      <c r="K31" s="42"/>
    </row>
    <row r="32" spans="1:24" ht="14.25" customHeight="1" x14ac:dyDescent="0.2">
      <c r="A32" s="149" t="s">
        <v>135</v>
      </c>
      <c r="B32" s="150"/>
      <c r="C32" s="231"/>
      <c r="D32" s="232"/>
      <c r="E32" s="232"/>
      <c r="F32" s="151"/>
      <c r="G32" s="2"/>
      <c r="H32" s="2"/>
      <c r="I32" s="2"/>
      <c r="J32" s="2"/>
      <c r="K32" s="2"/>
      <c r="L32" s="56"/>
      <c r="M32" s="56"/>
      <c r="N32" s="56"/>
      <c r="O32" s="56"/>
      <c r="P32" s="56"/>
      <c r="Q32" s="56"/>
      <c r="R32" s="56"/>
      <c r="S32" s="56"/>
      <c r="T32" s="56"/>
    </row>
    <row r="33" spans="1:20" ht="14.25" customHeight="1" x14ac:dyDescent="0.2">
      <c r="A33" s="76" t="s">
        <v>305</v>
      </c>
      <c r="B33" s="2"/>
      <c r="C33" s="311" t="s">
        <v>68</v>
      </c>
      <c r="D33" s="310" t="s">
        <v>69</v>
      </c>
      <c r="E33" s="91" t="s">
        <v>241</v>
      </c>
      <c r="F33" s="2"/>
      <c r="G33" s="2"/>
      <c r="H33" s="2"/>
      <c r="I33" s="2"/>
      <c r="J33" s="2"/>
      <c r="K33" s="2"/>
      <c r="L33" s="56"/>
      <c r="M33" s="56"/>
      <c r="N33" s="56"/>
      <c r="O33" s="56"/>
      <c r="P33" s="56"/>
      <c r="Q33" s="56"/>
      <c r="R33" s="56"/>
      <c r="S33" s="56"/>
      <c r="T33" s="56"/>
    </row>
    <row r="34" spans="1:20" ht="14.25" customHeight="1" x14ac:dyDescent="0.2">
      <c r="A34" s="291" t="s">
        <v>14</v>
      </c>
      <c r="B34" s="251"/>
      <c r="C34" s="112">
        <v>0</v>
      </c>
      <c r="D34" s="140">
        <v>1.18</v>
      </c>
      <c r="E34" s="343">
        <f>C34*D34</f>
        <v>0</v>
      </c>
      <c r="F34" s="2"/>
      <c r="G34" s="2"/>
      <c r="H34" s="2"/>
      <c r="I34" s="2"/>
      <c r="J34" s="2"/>
      <c r="K34" s="2"/>
      <c r="L34" s="56"/>
      <c r="M34" s="56"/>
      <c r="N34" s="56"/>
      <c r="O34" s="56"/>
      <c r="P34" s="56"/>
      <c r="Q34" s="56"/>
      <c r="R34" s="56"/>
      <c r="S34" s="56"/>
      <c r="T34" s="56"/>
    </row>
    <row r="35" spans="1:20" ht="14.25" customHeight="1" x14ac:dyDescent="0.2">
      <c r="A35" s="312" t="s">
        <v>15</v>
      </c>
      <c r="B35" s="11"/>
      <c r="C35" s="112"/>
      <c r="D35" s="140"/>
      <c r="E35" s="343">
        <f t="shared" ref="E35:E37" si="0">C35*D35</f>
        <v>0</v>
      </c>
      <c r="F35" s="2"/>
      <c r="G35" s="2"/>
      <c r="H35" s="2"/>
      <c r="I35" s="2"/>
      <c r="J35" s="2"/>
      <c r="K35" s="2"/>
      <c r="L35" s="56"/>
      <c r="M35" s="56"/>
      <c r="N35" s="56"/>
      <c r="O35" s="56"/>
      <c r="P35" s="56"/>
      <c r="Q35" s="56"/>
      <c r="R35" s="56"/>
      <c r="S35" s="56"/>
      <c r="T35" s="56"/>
    </row>
    <row r="36" spans="1:20" ht="13.5" customHeight="1" x14ac:dyDescent="0.2">
      <c r="A36" s="312" t="s">
        <v>16</v>
      </c>
      <c r="B36" s="11"/>
      <c r="C36" s="112"/>
      <c r="D36" s="140"/>
      <c r="E36" s="343">
        <f t="shared" si="0"/>
        <v>0</v>
      </c>
      <c r="F36" s="2"/>
      <c r="G36" s="117"/>
      <c r="H36" s="118"/>
      <c r="I36" s="118"/>
      <c r="J36" s="99"/>
      <c r="K36" s="108"/>
      <c r="L36" s="108"/>
    </row>
    <row r="37" spans="1:20" ht="14.25" customHeight="1" x14ac:dyDescent="0.2">
      <c r="A37" s="313" t="s">
        <v>17</v>
      </c>
      <c r="B37" s="11"/>
      <c r="C37" s="112"/>
      <c r="D37" s="140"/>
      <c r="E37" s="344">
        <f t="shared" si="0"/>
        <v>0</v>
      </c>
      <c r="F37" s="2"/>
      <c r="G37" s="27"/>
      <c r="H37" s="10"/>
      <c r="I37" s="10"/>
      <c r="J37" s="10"/>
      <c r="K37" s="10"/>
      <c r="M37" s="56"/>
    </row>
    <row r="38" spans="1:20" ht="14.25" customHeight="1" x14ac:dyDescent="0.2">
      <c r="A38" s="289" t="s">
        <v>86</v>
      </c>
      <c r="B38" s="11"/>
      <c r="C38" s="65"/>
      <c r="D38" s="145"/>
      <c r="E38" s="300">
        <v>0</v>
      </c>
      <c r="F38" s="2"/>
      <c r="G38" s="27"/>
      <c r="H38" s="10"/>
      <c r="I38" s="10"/>
      <c r="J38" s="10"/>
      <c r="K38" s="10"/>
      <c r="M38" s="56"/>
    </row>
    <row r="39" spans="1:20" ht="14.25" customHeight="1" x14ac:dyDescent="0.2">
      <c r="A39" s="130" t="s">
        <v>136</v>
      </c>
      <c r="B39" s="129"/>
      <c r="C39" s="65"/>
      <c r="D39" s="145"/>
      <c r="E39" s="140">
        <v>0</v>
      </c>
      <c r="F39" s="2"/>
      <c r="G39" s="27"/>
      <c r="H39" s="10"/>
      <c r="I39" s="10"/>
      <c r="J39" s="10"/>
      <c r="K39" s="10"/>
      <c r="M39" s="56"/>
    </row>
    <row r="40" spans="1:20" ht="14.25" x14ac:dyDescent="0.25">
      <c r="A40" s="51"/>
      <c r="B40" s="11"/>
      <c r="C40" s="12" t="s">
        <v>194</v>
      </c>
      <c r="D40" s="318" t="s">
        <v>266</v>
      </c>
      <c r="E40" s="74"/>
      <c r="F40" s="2"/>
      <c r="G40" s="109"/>
      <c r="H40" s="13"/>
      <c r="I40" s="10"/>
      <c r="J40" s="13"/>
      <c r="K40" s="13"/>
      <c r="L40" s="42"/>
      <c r="M40" s="56"/>
    </row>
    <row r="41" spans="1:20" x14ac:dyDescent="0.2">
      <c r="A41" s="314" t="s">
        <v>193</v>
      </c>
      <c r="C41" s="112">
        <v>0</v>
      </c>
      <c r="D41" s="300"/>
      <c r="E41" s="345">
        <f t="shared" ref="E41" si="1">C41*D41</f>
        <v>0</v>
      </c>
      <c r="F41" s="2"/>
      <c r="G41" s="89"/>
      <c r="H41" s="10"/>
      <c r="I41" s="13"/>
      <c r="J41" s="13"/>
      <c r="K41" s="13"/>
      <c r="L41" s="42"/>
    </row>
    <row r="42" spans="1:20" ht="14.25" customHeight="1" x14ac:dyDescent="0.25">
      <c r="A42" s="61"/>
      <c r="B42" s="11"/>
      <c r="C42" s="310" t="s">
        <v>195</v>
      </c>
      <c r="D42" s="318" t="s">
        <v>265</v>
      </c>
      <c r="E42" s="74"/>
      <c r="F42" s="2"/>
      <c r="G42" s="14"/>
      <c r="H42" s="10"/>
      <c r="I42" s="13"/>
      <c r="J42" s="13"/>
      <c r="K42" s="100"/>
      <c r="L42" s="42"/>
      <c r="M42" s="56"/>
      <c r="N42" s="56"/>
      <c r="O42" s="56"/>
      <c r="P42" s="56"/>
      <c r="Q42" s="56"/>
    </row>
    <row r="43" spans="1:20" ht="14.25" customHeight="1" x14ac:dyDescent="0.2">
      <c r="A43" s="315" t="s">
        <v>13</v>
      </c>
      <c r="C43" s="112">
        <v>250</v>
      </c>
      <c r="D43" s="140">
        <v>0.71</v>
      </c>
      <c r="E43" s="343">
        <f>C43*D43</f>
        <v>177.5</v>
      </c>
      <c r="F43" s="2"/>
      <c r="G43" s="117"/>
      <c r="H43" s="118"/>
      <c r="I43" s="119"/>
      <c r="J43" s="119"/>
      <c r="K43" s="98"/>
      <c r="L43" s="99"/>
    </row>
    <row r="44" spans="1:20" ht="14.25" customHeight="1" x14ac:dyDescent="0.2">
      <c r="A44" s="6"/>
      <c r="B44" s="2"/>
      <c r="C44" s="19"/>
      <c r="D44" s="2"/>
      <c r="E44" s="2"/>
      <c r="F44" s="2"/>
      <c r="G44" s="14"/>
      <c r="H44" s="3"/>
      <c r="I44" s="3"/>
      <c r="J44" s="3"/>
      <c r="K44" s="3"/>
      <c r="L44" s="3"/>
    </row>
    <row r="45" spans="1:20" ht="14.25" customHeight="1" x14ac:dyDescent="0.2">
      <c r="A45" s="289" t="s">
        <v>133</v>
      </c>
      <c r="B45" s="11"/>
      <c r="C45" s="16"/>
      <c r="D45" s="17"/>
      <c r="E45" s="140">
        <v>0</v>
      </c>
      <c r="F45" s="2"/>
      <c r="G45" s="27"/>
      <c r="H45" s="10"/>
      <c r="I45" s="10"/>
      <c r="J45" s="10"/>
      <c r="K45" s="10"/>
      <c r="L45" s="10"/>
    </row>
    <row r="46" spans="1:20" ht="14.25" customHeight="1" x14ac:dyDescent="0.2">
      <c r="A46" s="238"/>
      <c r="B46" s="11"/>
      <c r="C46" s="16"/>
      <c r="D46" s="17"/>
      <c r="E46" s="156"/>
      <c r="F46" s="2"/>
      <c r="G46" s="27"/>
      <c r="H46" s="10"/>
      <c r="I46" s="10"/>
      <c r="J46" s="10"/>
      <c r="K46" s="10"/>
      <c r="L46" s="10"/>
    </row>
    <row r="47" spans="1:20" ht="14.25" customHeight="1" x14ac:dyDescent="0.2">
      <c r="A47" s="289" t="s">
        <v>7</v>
      </c>
      <c r="B47" s="11"/>
      <c r="C47" s="16"/>
      <c r="D47" s="17"/>
      <c r="E47" s="140">
        <v>0</v>
      </c>
      <c r="F47" s="2"/>
      <c r="G47" s="27"/>
      <c r="H47" s="10"/>
      <c r="I47" s="10"/>
      <c r="J47" s="10"/>
      <c r="K47" s="10"/>
      <c r="L47" s="10"/>
    </row>
    <row r="48" spans="1:20" ht="14.25" customHeight="1" x14ac:dyDescent="0.2">
      <c r="A48" s="289"/>
      <c r="B48" s="11"/>
      <c r="C48" s="16"/>
      <c r="D48" s="17"/>
      <c r="E48" s="140">
        <v>0</v>
      </c>
      <c r="F48" s="2"/>
      <c r="G48" s="27"/>
      <c r="H48" s="10"/>
      <c r="I48" s="10"/>
      <c r="J48" s="10"/>
      <c r="K48" s="10"/>
      <c r="L48" s="10"/>
    </row>
    <row r="49" spans="1:19" ht="14.25" customHeight="1" x14ac:dyDescent="0.2">
      <c r="A49" s="289"/>
      <c r="B49" s="11"/>
      <c r="C49" s="16"/>
      <c r="D49" s="17"/>
      <c r="E49" s="140">
        <v>0</v>
      </c>
      <c r="F49" s="2"/>
      <c r="G49" s="27"/>
      <c r="H49" s="10"/>
      <c r="I49" s="10"/>
      <c r="J49" s="10"/>
      <c r="K49" s="10"/>
      <c r="L49" s="10"/>
    </row>
    <row r="50" spans="1:19" ht="14.25" customHeight="1" x14ac:dyDescent="0.2">
      <c r="A50" s="52" t="s">
        <v>248</v>
      </c>
      <c r="B50" s="155"/>
      <c r="C50" s="316" t="s">
        <v>72</v>
      </c>
      <c r="D50" s="85" t="s">
        <v>256</v>
      </c>
      <c r="E50" s="17"/>
      <c r="F50" s="2"/>
      <c r="G50" s="27"/>
      <c r="H50" s="10"/>
      <c r="I50" s="10"/>
      <c r="J50" s="10"/>
      <c r="K50" s="10"/>
      <c r="L50" s="10"/>
    </row>
    <row r="51" spans="1:19" ht="14.25" customHeight="1" x14ac:dyDescent="0.2">
      <c r="A51" s="289" t="s">
        <v>89</v>
      </c>
      <c r="B51" s="20"/>
      <c r="C51" s="112">
        <v>1</v>
      </c>
      <c r="D51" s="140">
        <v>8</v>
      </c>
      <c r="E51" s="343">
        <f>D51*C51</f>
        <v>8</v>
      </c>
      <c r="F51" s="2"/>
      <c r="G51" s="27"/>
      <c r="H51" s="10"/>
      <c r="I51" s="10"/>
      <c r="J51" s="10"/>
      <c r="K51" s="10"/>
      <c r="L51" s="10"/>
    </row>
    <row r="52" spans="1:19" ht="14.25" customHeight="1" x14ac:dyDescent="0.2">
      <c r="A52" s="289"/>
      <c r="B52" s="20"/>
      <c r="C52" s="112"/>
      <c r="D52" s="140"/>
      <c r="E52" s="343">
        <f t="shared" ref="E52:E53" si="2">D52*C52</f>
        <v>0</v>
      </c>
      <c r="F52" s="2"/>
      <c r="G52" s="27"/>
      <c r="H52" s="10"/>
      <c r="I52" s="10"/>
      <c r="J52" s="10"/>
      <c r="K52" s="10"/>
      <c r="L52" s="10"/>
    </row>
    <row r="53" spans="1:19" ht="14.25" customHeight="1" x14ac:dyDescent="0.2">
      <c r="A53" s="289"/>
      <c r="B53" s="20"/>
      <c r="C53" s="112"/>
      <c r="D53" s="140"/>
      <c r="E53" s="343">
        <f t="shared" si="2"/>
        <v>0</v>
      </c>
      <c r="F53" s="2"/>
      <c r="G53" s="27"/>
      <c r="H53" s="10"/>
      <c r="I53" s="10"/>
      <c r="J53" s="10"/>
      <c r="K53" s="10"/>
      <c r="L53" s="10"/>
    </row>
    <row r="54" spans="1:19" ht="14.25" customHeight="1" x14ac:dyDescent="0.2">
      <c r="A54" s="52"/>
      <c r="B54" s="11"/>
      <c r="C54" s="16"/>
      <c r="D54" s="17"/>
      <c r="E54" s="17"/>
      <c r="F54" s="2"/>
      <c r="G54" s="27"/>
      <c r="H54" s="10"/>
      <c r="I54" s="10"/>
      <c r="J54" s="10"/>
      <c r="K54" s="10"/>
      <c r="L54" s="10"/>
    </row>
    <row r="55" spans="1:19" x14ac:dyDescent="0.2">
      <c r="A55" s="6"/>
      <c r="B55" s="12" t="s">
        <v>263</v>
      </c>
      <c r="C55" s="12" t="s">
        <v>264</v>
      </c>
      <c r="D55" s="85" t="s">
        <v>240</v>
      </c>
      <c r="E55" s="91" t="s">
        <v>241</v>
      </c>
      <c r="F55" s="2"/>
    </row>
    <row r="56" spans="1:19" x14ac:dyDescent="0.2">
      <c r="A56" s="11" t="s">
        <v>80</v>
      </c>
      <c r="B56" s="301">
        <v>3</v>
      </c>
      <c r="C56" s="113">
        <v>3</v>
      </c>
      <c r="D56" s="183">
        <v>29</v>
      </c>
      <c r="E56" s="343">
        <f>(D56*C56)/B56</f>
        <v>29</v>
      </c>
      <c r="F56" s="2"/>
      <c r="H56" s="126"/>
      <c r="I56" s="56"/>
      <c r="J56" s="56"/>
      <c r="K56" s="56"/>
      <c r="L56" s="56"/>
      <c r="M56" s="56"/>
      <c r="N56" s="56"/>
      <c r="O56" s="56"/>
      <c r="P56" s="56"/>
      <c r="Q56" s="56"/>
      <c r="R56" s="56"/>
      <c r="S56" s="56"/>
    </row>
    <row r="57" spans="1:19" x14ac:dyDescent="0.2">
      <c r="A57" s="31"/>
      <c r="B57" s="185"/>
      <c r="C57" s="184"/>
      <c r="D57" s="319" t="s">
        <v>241</v>
      </c>
      <c r="E57" s="156"/>
      <c r="F57" s="2"/>
      <c r="H57" s="126"/>
      <c r="I57" s="56"/>
      <c r="J57" s="56"/>
      <c r="K57" s="56"/>
      <c r="L57" s="56"/>
      <c r="M57" s="56"/>
      <c r="N57" s="56"/>
      <c r="O57" s="56"/>
      <c r="P57" s="56"/>
      <c r="Q57" s="56"/>
      <c r="R57" s="56"/>
      <c r="S57" s="56"/>
    </row>
    <row r="58" spans="1:19" x14ac:dyDescent="0.2">
      <c r="A58" s="252" t="s">
        <v>98</v>
      </c>
      <c r="B58" s="20"/>
      <c r="C58" s="182"/>
      <c r="D58" s="183">
        <v>34.5</v>
      </c>
      <c r="E58" s="343">
        <f>D58/B56</f>
        <v>11.5</v>
      </c>
      <c r="F58" s="2"/>
      <c r="H58" s="126"/>
      <c r="I58" s="56"/>
      <c r="J58" s="56"/>
      <c r="K58" s="56"/>
      <c r="L58" s="56"/>
      <c r="M58" s="56"/>
      <c r="N58" s="56"/>
      <c r="O58" s="56"/>
      <c r="P58" s="56"/>
      <c r="Q58" s="56"/>
      <c r="R58" s="56"/>
      <c r="S58" s="56"/>
    </row>
    <row r="59" spans="1:19" x14ac:dyDescent="0.2">
      <c r="A59" s="31"/>
      <c r="B59" s="133"/>
      <c r="C59" s="135"/>
      <c r="D59" s="3"/>
      <c r="E59" s="10"/>
      <c r="F59" s="2"/>
      <c r="H59" s="126"/>
      <c r="I59" s="56"/>
      <c r="J59" s="56"/>
      <c r="K59" s="56"/>
      <c r="L59" s="56"/>
      <c r="M59" s="56"/>
      <c r="N59" s="56"/>
      <c r="O59" s="56"/>
      <c r="P59" s="56"/>
      <c r="Q59" s="56"/>
      <c r="R59" s="56"/>
      <c r="S59" s="56"/>
    </row>
    <row r="60" spans="1:19" x14ac:dyDescent="0.2">
      <c r="A60" s="229" t="s">
        <v>198</v>
      </c>
      <c r="B60" s="230"/>
      <c r="C60" s="230"/>
      <c r="D60" s="230"/>
      <c r="E60" s="341">
        <f>SUM(E24:E59)</f>
        <v>266</v>
      </c>
      <c r="F60" s="2"/>
      <c r="G60" s="52"/>
      <c r="H60" s="52"/>
      <c r="I60" s="56"/>
      <c r="J60" s="56"/>
      <c r="K60" s="56"/>
      <c r="L60" s="56"/>
      <c r="M60" s="56"/>
      <c r="N60" s="56"/>
      <c r="O60" s="56"/>
      <c r="P60" s="56"/>
      <c r="Q60" s="56"/>
      <c r="R60" s="56"/>
      <c r="S60" s="56"/>
    </row>
    <row r="61" spans="1:19" x14ac:dyDescent="0.2">
      <c r="A61" s="166" t="s">
        <v>94</v>
      </c>
      <c r="B61" s="146"/>
      <c r="C61" s="146"/>
      <c r="D61" s="146"/>
      <c r="E61" s="146"/>
      <c r="F61" s="146"/>
      <c r="G61" s="52"/>
      <c r="H61" s="52"/>
      <c r="I61" s="56"/>
      <c r="J61" s="56"/>
      <c r="K61" s="56"/>
      <c r="L61" s="56"/>
      <c r="M61" s="56"/>
      <c r="N61" s="56"/>
      <c r="O61" s="56"/>
      <c r="P61" s="56"/>
      <c r="Q61" s="56"/>
      <c r="R61" s="56"/>
      <c r="S61" s="56"/>
    </row>
    <row r="62" spans="1:19" x14ac:dyDescent="0.2">
      <c r="A62" s="287" t="s">
        <v>183</v>
      </c>
      <c r="B62" s="101">
        <v>1</v>
      </c>
      <c r="C62" s="58"/>
      <c r="D62" s="58"/>
      <c r="E62" s="58"/>
      <c r="F62" s="58"/>
      <c r="G62" s="52"/>
      <c r="H62" s="52"/>
      <c r="I62" s="56"/>
      <c r="J62" s="56"/>
      <c r="K62" s="56"/>
      <c r="L62" s="56"/>
      <c r="M62" s="56"/>
      <c r="N62" s="56"/>
      <c r="O62" s="56"/>
      <c r="P62" s="56"/>
      <c r="Q62" s="56"/>
      <c r="R62" s="56"/>
      <c r="S62" s="56"/>
    </row>
    <row r="63" spans="1:19" x14ac:dyDescent="0.2">
      <c r="A63" s="26"/>
      <c r="B63" s="7"/>
      <c r="C63" s="317" t="s">
        <v>314</v>
      </c>
      <c r="D63" s="317" t="s">
        <v>315</v>
      </c>
      <c r="E63" s="91" t="s">
        <v>241</v>
      </c>
      <c r="F63" s="2"/>
      <c r="G63" s="52"/>
      <c r="H63" s="52"/>
      <c r="I63" s="56"/>
      <c r="J63" s="56"/>
      <c r="K63" s="56"/>
      <c r="L63" s="56"/>
      <c r="M63" s="56"/>
      <c r="N63" s="56"/>
      <c r="O63" s="56"/>
      <c r="P63" s="56"/>
      <c r="Q63" s="56"/>
      <c r="R63" s="56"/>
      <c r="S63" s="56"/>
    </row>
    <row r="64" spans="1:19" x14ac:dyDescent="0.2">
      <c r="A64" s="289" t="s">
        <v>173</v>
      </c>
      <c r="B64" s="63"/>
      <c r="C64" s="112">
        <v>15</v>
      </c>
      <c r="D64" s="254">
        <v>350</v>
      </c>
      <c r="E64" s="343">
        <f>((C64/50)*D64)/$B$62</f>
        <v>105</v>
      </c>
      <c r="F64" s="2"/>
      <c r="G64" s="53"/>
      <c r="H64" s="127"/>
      <c r="I64" s="58"/>
      <c r="J64" s="58"/>
      <c r="K64" s="58"/>
      <c r="L64" s="56"/>
      <c r="M64" s="56"/>
      <c r="N64" s="56"/>
      <c r="O64" s="56"/>
      <c r="P64" s="56"/>
      <c r="Q64" s="56"/>
      <c r="R64" s="56"/>
      <c r="S64" s="56"/>
    </row>
    <row r="65" spans="1:23" x14ac:dyDescent="0.2">
      <c r="A65" s="289" t="s">
        <v>175</v>
      </c>
      <c r="B65" s="63"/>
      <c r="C65" s="112"/>
      <c r="D65" s="254"/>
      <c r="E65" s="343">
        <f t="shared" ref="E65:E67" si="3">((C65/50)*D65)/$B$62</f>
        <v>0</v>
      </c>
      <c r="F65" s="2"/>
      <c r="G65" s="53"/>
      <c r="H65" s="127"/>
      <c r="I65" s="58"/>
      <c r="J65" s="58"/>
      <c r="K65" s="58"/>
      <c r="L65" s="56"/>
      <c r="M65" s="56"/>
      <c r="N65" s="56"/>
      <c r="O65" s="56"/>
      <c r="P65" s="56"/>
      <c r="Q65" s="56"/>
      <c r="R65" s="56"/>
      <c r="S65" s="56"/>
    </row>
    <row r="66" spans="1:23" x14ac:dyDescent="0.2">
      <c r="A66" s="289"/>
      <c r="B66" s="63"/>
      <c r="C66" s="112"/>
      <c r="D66" s="254"/>
      <c r="E66" s="343">
        <f t="shared" si="3"/>
        <v>0</v>
      </c>
      <c r="F66" s="2"/>
      <c r="G66" s="53"/>
      <c r="H66" s="127"/>
      <c r="I66" s="58"/>
      <c r="J66" s="58"/>
      <c r="K66" s="58"/>
      <c r="L66" s="56"/>
      <c r="M66" s="56"/>
      <c r="N66" s="56"/>
      <c r="O66" s="56"/>
      <c r="P66" s="56"/>
      <c r="Q66" s="56"/>
      <c r="R66" s="56"/>
      <c r="S66" s="56"/>
    </row>
    <row r="67" spans="1:23" x14ac:dyDescent="0.2">
      <c r="A67" s="101"/>
      <c r="B67" s="63"/>
      <c r="C67" s="112"/>
      <c r="D67" s="254"/>
      <c r="E67" s="343">
        <f t="shared" si="3"/>
        <v>0</v>
      </c>
      <c r="F67" s="2"/>
      <c r="G67" s="53"/>
      <c r="H67" s="127"/>
      <c r="I67" s="58"/>
      <c r="J67" s="58"/>
      <c r="K67" s="58"/>
      <c r="L67" s="56"/>
      <c r="M67" s="56"/>
      <c r="N67" s="56"/>
      <c r="O67" s="56"/>
      <c r="P67" s="56"/>
      <c r="Q67" s="56"/>
      <c r="R67" s="56"/>
      <c r="S67" s="56"/>
    </row>
    <row r="68" spans="1:23" x14ac:dyDescent="0.2">
      <c r="A68" s="27"/>
      <c r="B68" s="9"/>
      <c r="C68" s="310" t="s">
        <v>299</v>
      </c>
      <c r="D68" s="317" t="s">
        <v>236</v>
      </c>
      <c r="E68" s="91" t="s">
        <v>241</v>
      </c>
      <c r="F68" s="2"/>
      <c r="G68" s="56"/>
      <c r="H68" s="56"/>
      <c r="I68" s="58"/>
      <c r="J68" s="58"/>
      <c r="K68" s="58"/>
      <c r="L68" s="56"/>
      <c r="M68" s="56"/>
      <c r="N68" s="56"/>
      <c r="O68" s="56"/>
      <c r="P68" s="56"/>
      <c r="Q68" s="56"/>
      <c r="R68" s="56"/>
      <c r="S68" s="56"/>
      <c r="T68" s="56"/>
      <c r="U68" s="56"/>
      <c r="V68" s="56"/>
      <c r="W68" s="56"/>
    </row>
    <row r="69" spans="1:23" x14ac:dyDescent="0.2">
      <c r="A69" s="76" t="s">
        <v>174</v>
      </c>
      <c r="B69" s="77"/>
      <c r="C69" s="123">
        <v>2</v>
      </c>
      <c r="D69" s="255"/>
      <c r="E69" s="346">
        <f>D69*C69</f>
        <v>0</v>
      </c>
      <c r="F69" s="2"/>
      <c r="G69" s="56"/>
      <c r="H69" s="56"/>
      <c r="I69" s="58"/>
      <c r="J69" s="58"/>
      <c r="K69" s="58"/>
      <c r="L69" s="56"/>
      <c r="M69" s="56"/>
      <c r="N69" s="56"/>
      <c r="O69" s="56"/>
      <c r="P69" s="56"/>
      <c r="Q69" s="56"/>
      <c r="R69" s="56"/>
      <c r="S69" s="56"/>
      <c r="T69" s="56"/>
      <c r="U69" s="56"/>
      <c r="V69" s="56"/>
      <c r="W69" s="56"/>
    </row>
    <row r="70" spans="1:23" x14ac:dyDescent="0.2">
      <c r="A70" s="76" t="s">
        <v>81</v>
      </c>
      <c r="B70" s="77"/>
      <c r="C70" s="112"/>
      <c r="D70" s="254"/>
      <c r="E70" s="565">
        <f>D70*C70</f>
        <v>0</v>
      </c>
      <c r="F70" s="2"/>
      <c r="G70" s="56"/>
      <c r="H70" s="56"/>
      <c r="I70" s="58"/>
      <c r="J70" s="58"/>
      <c r="K70" s="58"/>
      <c r="L70" s="56"/>
      <c r="M70" s="56"/>
      <c r="N70" s="56"/>
      <c r="O70" s="56"/>
      <c r="P70" s="56"/>
      <c r="Q70" s="56"/>
      <c r="R70" s="56"/>
      <c r="S70" s="56"/>
      <c r="T70" s="56"/>
      <c r="U70" s="56"/>
      <c r="V70" s="56"/>
      <c r="W70" s="56"/>
    </row>
    <row r="71" spans="1:23" x14ac:dyDescent="0.2">
      <c r="A71" s="76"/>
      <c r="B71" s="77"/>
      <c r="C71" s="320" t="s">
        <v>261</v>
      </c>
      <c r="D71" s="332" t="s">
        <v>262</v>
      </c>
      <c r="E71" s="322" t="s">
        <v>241</v>
      </c>
      <c r="F71" s="2"/>
      <c r="G71" s="56"/>
      <c r="H71" s="56"/>
      <c r="I71" s="58"/>
      <c r="J71" s="58"/>
      <c r="K71" s="58"/>
      <c r="L71" s="56"/>
      <c r="M71" s="56"/>
      <c r="N71" s="56"/>
      <c r="O71" s="56"/>
      <c r="P71" s="56"/>
      <c r="Q71" s="56"/>
      <c r="R71" s="56"/>
      <c r="S71" s="56"/>
      <c r="T71" s="56"/>
      <c r="U71" s="56"/>
      <c r="V71" s="56"/>
      <c r="W71" s="56"/>
    </row>
    <row r="72" spans="1:23" x14ac:dyDescent="0.2">
      <c r="A72" s="76" t="s">
        <v>81</v>
      </c>
      <c r="B72" s="77"/>
      <c r="C72" s="112"/>
      <c r="D72" s="254"/>
      <c r="E72" s="565">
        <f>D72*C72</f>
        <v>0</v>
      </c>
      <c r="F72" s="2"/>
      <c r="G72" s="56"/>
      <c r="H72" s="56"/>
      <c r="I72" s="58"/>
      <c r="J72" s="58"/>
      <c r="K72" s="58"/>
      <c r="L72" s="56"/>
      <c r="M72" s="56"/>
      <c r="N72" s="56"/>
      <c r="O72" s="56"/>
      <c r="P72" s="56"/>
      <c r="Q72" s="56"/>
      <c r="R72" s="56"/>
      <c r="S72" s="56"/>
      <c r="T72" s="56"/>
      <c r="U72" s="56"/>
      <c r="V72" s="56"/>
      <c r="W72" s="56"/>
    </row>
    <row r="73" spans="1:23" x14ac:dyDescent="0.2">
      <c r="A73" s="215" t="s">
        <v>197</v>
      </c>
      <c r="B73" s="222"/>
      <c r="C73" s="227"/>
      <c r="D73" s="228"/>
      <c r="E73" s="347">
        <f>E64+E69+E70+E72</f>
        <v>105</v>
      </c>
      <c r="F73" s="2"/>
      <c r="G73" s="56"/>
      <c r="H73" s="56"/>
      <c r="I73" s="58"/>
      <c r="J73" s="58"/>
      <c r="K73" s="58"/>
      <c r="L73" s="56"/>
      <c r="M73" s="56"/>
      <c r="N73" s="56"/>
      <c r="O73" s="56"/>
      <c r="P73" s="56"/>
      <c r="Q73" s="56"/>
      <c r="R73" s="56"/>
      <c r="S73" s="56"/>
      <c r="T73" s="56"/>
      <c r="U73" s="56"/>
      <c r="V73" s="56"/>
      <c r="W73" s="56"/>
    </row>
    <row r="74" spans="1:23" x14ac:dyDescent="0.2">
      <c r="A74" s="164" t="s">
        <v>92</v>
      </c>
      <c r="B74" s="160"/>
      <c r="C74" s="161"/>
      <c r="D74" s="162"/>
      <c r="E74" s="214"/>
      <c r="F74" s="146"/>
      <c r="G74" s="58"/>
      <c r="H74" s="58"/>
      <c r="I74" s="58"/>
      <c r="J74" s="58"/>
      <c r="K74" s="58"/>
      <c r="L74" s="56"/>
      <c r="M74" s="56"/>
      <c r="N74" s="56"/>
      <c r="O74" s="56"/>
      <c r="P74" s="56"/>
      <c r="Q74" s="56"/>
      <c r="R74" s="56"/>
      <c r="S74" s="56"/>
    </row>
    <row r="75" spans="1:23" x14ac:dyDescent="0.2">
      <c r="A75" s="165" t="s">
        <v>2</v>
      </c>
      <c r="B75" s="7"/>
      <c r="C75" s="233"/>
      <c r="D75" s="131"/>
      <c r="E75" s="330" t="s">
        <v>67</v>
      </c>
      <c r="F75" s="2"/>
      <c r="G75" s="50"/>
      <c r="H75" s="128"/>
      <c r="I75" s="58"/>
      <c r="J75" s="58"/>
      <c r="K75" s="58"/>
      <c r="L75" s="56"/>
      <c r="M75" s="56"/>
      <c r="N75" s="56"/>
      <c r="O75" s="56"/>
      <c r="P75" s="56"/>
      <c r="Q75" s="56"/>
      <c r="R75" s="56"/>
      <c r="S75" s="56"/>
    </row>
    <row r="76" spans="1:23" x14ac:dyDescent="0.2">
      <c r="A76" s="252" t="s">
        <v>126</v>
      </c>
      <c r="B76" s="7"/>
      <c r="C76" s="233"/>
      <c r="D76" s="131"/>
      <c r="E76" s="307">
        <v>0</v>
      </c>
      <c r="F76" s="2"/>
      <c r="G76" s="50"/>
      <c r="H76" s="128"/>
      <c r="I76" s="58"/>
      <c r="J76" s="58"/>
      <c r="K76" s="58"/>
      <c r="L76" s="56"/>
      <c r="M76" s="56"/>
      <c r="N76" s="56"/>
      <c r="O76" s="56"/>
      <c r="P76" s="56"/>
      <c r="Q76" s="56"/>
      <c r="R76" s="56"/>
      <c r="S76" s="56"/>
    </row>
    <row r="77" spans="1:23" x14ac:dyDescent="0.2">
      <c r="A77" s="251" t="s">
        <v>99</v>
      </c>
      <c r="B77" s="7"/>
      <c r="C77" s="233"/>
      <c r="D77" s="131"/>
      <c r="E77" s="140">
        <v>0</v>
      </c>
      <c r="F77" s="2"/>
      <c r="G77" s="50"/>
      <c r="H77" s="128"/>
      <c r="I77" s="58"/>
      <c r="J77" s="58"/>
      <c r="K77" s="58"/>
      <c r="L77" s="56"/>
      <c r="M77" s="56"/>
      <c r="N77" s="56"/>
      <c r="O77" s="56"/>
      <c r="P77" s="56"/>
      <c r="Q77" s="56"/>
      <c r="R77" s="56"/>
      <c r="S77" s="56"/>
    </row>
    <row r="78" spans="1:23" x14ac:dyDescent="0.2">
      <c r="A78" s="252" t="s">
        <v>127</v>
      </c>
      <c r="B78" s="7"/>
      <c r="C78" s="16"/>
      <c r="D78" s="234"/>
      <c r="E78" s="140">
        <v>0</v>
      </c>
      <c r="F78" s="2"/>
      <c r="G78" s="50"/>
      <c r="H78" s="128"/>
      <c r="I78" s="58"/>
      <c r="J78" s="58"/>
      <c r="K78" s="58"/>
      <c r="L78" s="56"/>
      <c r="M78" s="56"/>
      <c r="N78" s="56"/>
      <c r="O78" s="56"/>
      <c r="P78" s="56"/>
      <c r="Q78" s="56"/>
      <c r="R78" s="56"/>
      <c r="S78" s="56"/>
    </row>
    <row r="79" spans="1:23" x14ac:dyDescent="0.2">
      <c r="A79" s="251" t="s">
        <v>99</v>
      </c>
      <c r="B79" s="7"/>
      <c r="C79" s="16"/>
      <c r="D79" s="234"/>
      <c r="E79" s="140">
        <v>0</v>
      </c>
      <c r="F79" s="2"/>
      <c r="G79" s="50"/>
      <c r="H79" s="128"/>
      <c r="I79" s="58"/>
      <c r="J79" s="58"/>
      <c r="K79" s="58"/>
      <c r="L79" s="56"/>
      <c r="M79" s="56"/>
      <c r="N79" s="56"/>
      <c r="O79" s="56"/>
      <c r="P79" s="56"/>
      <c r="Q79" s="56"/>
      <c r="R79" s="56"/>
      <c r="S79" s="56"/>
    </row>
    <row r="80" spans="1:23" x14ac:dyDescent="0.2">
      <c r="A80" s="252" t="s">
        <v>128</v>
      </c>
      <c r="B80" s="7"/>
      <c r="C80" s="16"/>
      <c r="D80" s="234"/>
      <c r="E80" s="140">
        <v>0</v>
      </c>
      <c r="F80" s="2"/>
      <c r="G80" s="50"/>
      <c r="H80" s="128"/>
      <c r="I80" s="58"/>
      <c r="J80" s="58"/>
      <c r="K80" s="58"/>
      <c r="L80" s="56"/>
      <c r="M80" s="56"/>
      <c r="N80" s="56"/>
      <c r="O80" s="56"/>
      <c r="P80" s="56"/>
      <c r="Q80" s="56"/>
      <c r="R80" s="56"/>
      <c r="S80" s="56"/>
    </row>
    <row r="81" spans="1:19" x14ac:dyDescent="0.2">
      <c r="A81" s="251" t="s">
        <v>99</v>
      </c>
      <c r="B81" s="7"/>
      <c r="C81" s="16"/>
      <c r="D81" s="234"/>
      <c r="E81" s="140">
        <v>0</v>
      </c>
      <c r="F81" s="2"/>
      <c r="G81" s="50"/>
      <c r="H81" s="128"/>
      <c r="I81" s="58"/>
      <c r="J81" s="58"/>
      <c r="K81" s="58"/>
      <c r="L81" s="56"/>
      <c r="M81" s="56"/>
      <c r="N81" s="56"/>
      <c r="O81" s="56"/>
      <c r="P81" s="56"/>
      <c r="Q81" s="56"/>
      <c r="R81" s="56"/>
      <c r="S81" s="56"/>
    </row>
    <row r="82" spans="1:19" x14ac:dyDescent="0.2">
      <c r="A82" s="212" t="s">
        <v>129</v>
      </c>
      <c r="B82" s="5"/>
      <c r="C82" s="65"/>
      <c r="D82" s="235"/>
      <c r="E82" s="140">
        <v>0</v>
      </c>
      <c r="F82" s="2"/>
      <c r="G82" s="49"/>
      <c r="H82" s="49"/>
      <c r="I82" s="58"/>
      <c r="J82" s="58"/>
      <c r="K82" s="58"/>
      <c r="L82" s="56"/>
      <c r="M82" s="56"/>
      <c r="N82" s="56"/>
      <c r="O82" s="56"/>
      <c r="P82" s="56"/>
      <c r="Q82" s="56"/>
      <c r="R82" s="56"/>
      <c r="S82" s="56"/>
    </row>
    <row r="83" spans="1:19" x14ac:dyDescent="0.2">
      <c r="A83" s="212" t="s">
        <v>99</v>
      </c>
      <c r="B83" s="5"/>
      <c r="C83" s="65"/>
      <c r="D83" s="235"/>
      <c r="E83" s="140">
        <v>0</v>
      </c>
      <c r="F83" s="2"/>
      <c r="G83" s="62"/>
      <c r="H83" s="62"/>
      <c r="I83" s="56"/>
      <c r="J83" s="56"/>
      <c r="K83" s="56"/>
      <c r="L83" s="56"/>
      <c r="M83" s="56"/>
      <c r="N83" s="56"/>
      <c r="O83" s="56"/>
      <c r="P83" s="56"/>
      <c r="Q83" s="56"/>
      <c r="R83" s="56"/>
      <c r="S83" s="56"/>
    </row>
    <row r="84" spans="1:19" x14ac:dyDescent="0.2">
      <c r="A84" s="165" t="s">
        <v>8</v>
      </c>
      <c r="B84" s="7"/>
      <c r="C84" s="16"/>
      <c r="D84" s="5"/>
      <c r="E84" s="254">
        <v>0</v>
      </c>
      <c r="F84" s="2"/>
      <c r="G84" s="2"/>
      <c r="H84" s="2"/>
      <c r="I84" s="2"/>
      <c r="J84" s="2"/>
      <c r="K84" s="2"/>
    </row>
    <row r="85" spans="1:19" x14ac:dyDescent="0.2">
      <c r="A85" s="251" t="s">
        <v>130</v>
      </c>
      <c r="B85" s="7"/>
      <c r="C85" s="16"/>
      <c r="D85" s="5"/>
      <c r="E85" s="254">
        <v>0</v>
      </c>
      <c r="F85" s="2"/>
      <c r="G85" s="2"/>
      <c r="H85" s="2"/>
      <c r="I85" s="2"/>
      <c r="J85" s="2"/>
      <c r="K85" s="2"/>
    </row>
    <row r="86" spans="1:19" x14ac:dyDescent="0.2">
      <c r="A86" s="251" t="s">
        <v>99</v>
      </c>
      <c r="B86" s="7"/>
      <c r="C86" s="16"/>
      <c r="D86" s="5"/>
      <c r="E86" s="254">
        <v>0</v>
      </c>
      <c r="F86" s="2"/>
      <c r="G86" s="2"/>
      <c r="H86" s="2"/>
      <c r="I86" s="2"/>
      <c r="J86" s="2"/>
      <c r="K86" s="2"/>
    </row>
    <row r="87" spans="1:19" x14ac:dyDescent="0.2">
      <c r="A87" s="59" t="s">
        <v>131</v>
      </c>
      <c r="B87" s="5"/>
      <c r="C87" s="65"/>
      <c r="D87" s="235"/>
      <c r="E87" s="140">
        <v>0</v>
      </c>
      <c r="F87" s="2"/>
      <c r="H87" s="58"/>
      <c r="I87" s="58"/>
      <c r="J87" s="58"/>
      <c r="K87" s="58"/>
      <c r="L87" s="56"/>
      <c r="M87" s="56"/>
      <c r="N87" s="56"/>
      <c r="O87" s="56"/>
    </row>
    <row r="88" spans="1:19" x14ac:dyDescent="0.2">
      <c r="A88" s="59" t="s">
        <v>99</v>
      </c>
      <c r="B88" s="5"/>
      <c r="C88" s="65"/>
      <c r="D88" s="235"/>
      <c r="E88" s="140">
        <v>0</v>
      </c>
      <c r="F88" s="2"/>
      <c r="G88" s="2"/>
      <c r="H88" s="58"/>
      <c r="I88" s="58"/>
      <c r="J88" s="58"/>
      <c r="K88" s="58"/>
      <c r="L88" s="56"/>
      <c r="M88" s="56"/>
      <c r="N88" s="56"/>
      <c r="O88" s="56"/>
    </row>
    <row r="89" spans="1:19" x14ac:dyDescent="0.2">
      <c r="A89" s="59" t="s">
        <v>131</v>
      </c>
      <c r="B89" s="5"/>
      <c r="C89" s="65"/>
      <c r="D89" s="235"/>
      <c r="E89" s="140">
        <v>0</v>
      </c>
      <c r="F89" s="2"/>
      <c r="G89" s="2"/>
      <c r="H89" s="58"/>
      <c r="I89" s="58"/>
      <c r="J89" s="58"/>
      <c r="K89" s="58"/>
      <c r="L89" s="56"/>
      <c r="M89" s="56"/>
      <c r="N89" s="56"/>
      <c r="O89" s="56"/>
    </row>
    <row r="90" spans="1:19" x14ac:dyDescent="0.2">
      <c r="A90" s="59" t="s">
        <v>99</v>
      </c>
      <c r="B90" s="5"/>
      <c r="C90" s="65"/>
      <c r="D90" s="235"/>
      <c r="E90" s="140">
        <v>0</v>
      </c>
      <c r="F90" s="2"/>
      <c r="G90" s="2"/>
      <c r="H90" s="58"/>
      <c r="I90" s="58"/>
      <c r="J90" s="58"/>
      <c r="K90" s="58"/>
      <c r="L90" s="56"/>
      <c r="M90" s="56"/>
      <c r="N90" s="56"/>
      <c r="O90" s="56"/>
    </row>
    <row r="91" spans="1:19" x14ac:dyDescent="0.2">
      <c r="A91" s="165" t="s">
        <v>12</v>
      </c>
      <c r="B91" s="7"/>
      <c r="C91" s="16"/>
      <c r="D91" s="5"/>
      <c r="E91" s="254">
        <v>0</v>
      </c>
      <c r="F91" s="2"/>
      <c r="G91" s="2"/>
      <c r="H91" s="58"/>
      <c r="I91" s="58"/>
      <c r="J91" s="58"/>
      <c r="K91" s="58"/>
      <c r="L91" s="56"/>
      <c r="M91" s="56"/>
      <c r="N91" s="56"/>
      <c r="O91" s="56"/>
    </row>
    <row r="92" spans="1:19" ht="13.5" customHeight="1" x14ac:dyDescent="0.2">
      <c r="A92" s="59" t="s">
        <v>176</v>
      </c>
      <c r="B92" s="5"/>
      <c r="C92" s="65"/>
      <c r="D92" s="235"/>
      <c r="E92" s="140">
        <v>0</v>
      </c>
      <c r="F92" s="2"/>
      <c r="G92" s="2"/>
      <c r="H92" s="62"/>
      <c r="I92" s="58"/>
      <c r="J92" s="58"/>
      <c r="K92" s="58"/>
      <c r="L92" s="56"/>
      <c r="M92" s="56"/>
      <c r="N92" s="56"/>
      <c r="O92" s="56"/>
    </row>
    <row r="93" spans="1:19" x14ac:dyDescent="0.2">
      <c r="A93" s="59" t="s">
        <v>99</v>
      </c>
      <c r="B93" s="5"/>
      <c r="C93" s="65"/>
      <c r="D93" s="235"/>
      <c r="E93" s="140">
        <v>0</v>
      </c>
      <c r="F93" s="2"/>
      <c r="G93" s="2"/>
      <c r="H93" s="58"/>
      <c r="I93" s="58"/>
      <c r="J93" s="58"/>
      <c r="K93" s="58"/>
      <c r="L93" s="56"/>
      <c r="M93" s="56"/>
      <c r="N93" s="56"/>
      <c r="O93" s="56"/>
    </row>
    <row r="94" spans="1:19" x14ac:dyDescent="0.2">
      <c r="A94" s="59" t="s">
        <v>177</v>
      </c>
      <c r="B94" s="5"/>
      <c r="C94" s="65"/>
      <c r="D94" s="235"/>
      <c r="E94" s="140">
        <v>0</v>
      </c>
      <c r="F94" s="2"/>
      <c r="G94" s="2"/>
      <c r="H94" s="58"/>
      <c r="I94" s="58"/>
      <c r="J94" s="58"/>
      <c r="K94" s="58"/>
      <c r="L94" s="56"/>
      <c r="M94" s="56"/>
      <c r="N94" s="56"/>
      <c r="O94" s="56"/>
    </row>
    <row r="95" spans="1:19" x14ac:dyDescent="0.2">
      <c r="A95" s="59" t="s">
        <v>99</v>
      </c>
      <c r="B95" s="5"/>
      <c r="C95" s="65"/>
      <c r="D95" s="235"/>
      <c r="E95" s="140">
        <v>0</v>
      </c>
      <c r="F95" s="2"/>
      <c r="G95" s="2"/>
      <c r="H95" s="58"/>
      <c r="I95" s="58"/>
      <c r="J95" s="58"/>
      <c r="K95" s="58"/>
      <c r="L95" s="56"/>
      <c r="M95" s="56"/>
      <c r="N95" s="56"/>
      <c r="O95" s="56"/>
    </row>
    <row r="96" spans="1:19" x14ac:dyDescent="0.2">
      <c r="A96" s="59" t="s">
        <v>178</v>
      </c>
      <c r="B96" s="5"/>
      <c r="C96" s="65"/>
      <c r="D96" s="235"/>
      <c r="E96" s="140">
        <v>0</v>
      </c>
      <c r="F96" s="2"/>
      <c r="G96" s="2"/>
      <c r="H96" s="58"/>
      <c r="I96" s="58"/>
      <c r="J96" s="58"/>
      <c r="K96" s="58"/>
      <c r="L96" s="56"/>
      <c r="M96" s="56"/>
      <c r="N96" s="56"/>
      <c r="O96" s="56"/>
    </row>
    <row r="97" spans="1:23" x14ac:dyDescent="0.2">
      <c r="A97" s="59" t="s">
        <v>99</v>
      </c>
      <c r="B97" s="5"/>
      <c r="C97" s="65"/>
      <c r="D97" s="235"/>
      <c r="E97" s="140">
        <v>0</v>
      </c>
      <c r="F97" s="2"/>
      <c r="G97" s="2"/>
      <c r="H97" s="58"/>
      <c r="I97" s="58"/>
      <c r="J97" s="58"/>
      <c r="K97" s="58"/>
      <c r="L97" s="56"/>
      <c r="M97" s="56"/>
      <c r="N97" s="56"/>
      <c r="O97" s="56"/>
    </row>
    <row r="98" spans="1:23" x14ac:dyDescent="0.2">
      <c r="A98" s="212" t="s">
        <v>30</v>
      </c>
      <c r="B98" s="5"/>
      <c r="C98" s="65"/>
      <c r="D98" s="235"/>
      <c r="E98" s="140">
        <v>0</v>
      </c>
      <c r="F98" s="2"/>
      <c r="G98" s="2"/>
      <c r="H98" s="58"/>
      <c r="I98" s="58"/>
      <c r="J98" s="58"/>
      <c r="K98" s="58"/>
      <c r="L98" s="56"/>
      <c r="M98" s="56"/>
      <c r="N98" s="56"/>
      <c r="O98" s="56"/>
      <c r="P98" s="56"/>
    </row>
    <row r="99" spans="1:23" x14ac:dyDescent="0.2">
      <c r="A99" s="212" t="s">
        <v>31</v>
      </c>
      <c r="B99" s="5"/>
      <c r="C99" s="65"/>
      <c r="D99" s="235"/>
      <c r="E99" s="140">
        <v>0</v>
      </c>
      <c r="F99" s="2"/>
      <c r="G99" s="2"/>
      <c r="H99" s="58"/>
      <c r="I99" s="58"/>
      <c r="J99" s="58"/>
      <c r="K99" s="58"/>
      <c r="L99" s="56"/>
      <c r="M99" s="56"/>
      <c r="N99" s="56"/>
      <c r="O99" s="56"/>
      <c r="P99" s="56"/>
    </row>
    <row r="100" spans="1:23" x14ac:dyDescent="0.2">
      <c r="A100" s="225" t="s">
        <v>199</v>
      </c>
      <c r="B100" s="226"/>
      <c r="C100" s="217"/>
      <c r="D100" s="236"/>
      <c r="E100" s="348">
        <f>SUM(E76:E99)</f>
        <v>0</v>
      </c>
      <c r="F100" s="2"/>
      <c r="G100" s="2"/>
      <c r="H100" s="58"/>
      <c r="I100" s="58"/>
      <c r="J100" s="58"/>
      <c r="K100" s="58"/>
      <c r="L100" s="56"/>
      <c r="M100" s="56"/>
      <c r="N100" s="56"/>
      <c r="O100" s="56"/>
      <c r="P100" s="56"/>
    </row>
    <row r="101" spans="1:23" x14ac:dyDescent="0.2">
      <c r="A101" s="196" t="s">
        <v>10</v>
      </c>
      <c r="B101" s="192"/>
      <c r="C101" s="193"/>
      <c r="D101" s="163"/>
      <c r="E101" s="194"/>
      <c r="F101" s="146"/>
      <c r="G101" s="2"/>
      <c r="H101" s="2"/>
      <c r="I101" s="2"/>
      <c r="J101" s="2"/>
      <c r="K101" s="2"/>
    </row>
    <row r="102" spans="1:23" x14ac:dyDescent="0.2">
      <c r="A102" s="213"/>
      <c r="B102" s="5"/>
      <c r="C102" s="16"/>
      <c r="D102" s="17"/>
      <c r="E102" s="91" t="s">
        <v>241</v>
      </c>
      <c r="F102" s="58"/>
      <c r="G102" s="2"/>
      <c r="H102" s="2"/>
      <c r="I102" s="2"/>
      <c r="J102" s="2"/>
      <c r="K102" s="2"/>
    </row>
    <row r="103" spans="1:23" x14ac:dyDescent="0.2">
      <c r="A103" s="212" t="s">
        <v>118</v>
      </c>
      <c r="B103" s="5"/>
      <c r="C103" s="65"/>
      <c r="D103" s="66"/>
      <c r="E103" s="140">
        <v>0</v>
      </c>
      <c r="F103" s="2"/>
      <c r="G103" s="2"/>
      <c r="H103" s="2"/>
      <c r="I103" s="2"/>
      <c r="J103" s="2"/>
      <c r="K103" s="2"/>
    </row>
    <row r="104" spans="1:23" x14ac:dyDescent="0.2">
      <c r="A104" s="212"/>
      <c r="B104" s="5"/>
      <c r="C104" s="320" t="s">
        <v>116</v>
      </c>
      <c r="D104" s="321" t="s">
        <v>258</v>
      </c>
      <c r="E104" s="91" t="s">
        <v>241</v>
      </c>
      <c r="F104" s="2"/>
      <c r="G104" s="2"/>
      <c r="H104" s="2"/>
      <c r="I104" s="2"/>
      <c r="J104" s="2"/>
      <c r="K104" s="2"/>
    </row>
    <row r="105" spans="1:23" x14ac:dyDescent="0.2">
      <c r="A105" s="29" t="s">
        <v>115</v>
      </c>
      <c r="B105" s="9"/>
      <c r="C105" s="219">
        <v>0</v>
      </c>
      <c r="D105" s="220">
        <v>5.5</v>
      </c>
      <c r="E105" s="344">
        <f>+C105*D105</f>
        <v>0</v>
      </c>
      <c r="F105" s="2"/>
      <c r="G105" s="2"/>
      <c r="H105" s="2"/>
      <c r="I105" s="2"/>
      <c r="J105" s="2"/>
      <c r="K105" s="2"/>
    </row>
    <row r="106" spans="1:23" x14ac:dyDescent="0.2">
      <c r="A106" s="221" t="s">
        <v>117</v>
      </c>
      <c r="B106" s="222"/>
      <c r="C106" s="223"/>
      <c r="D106" s="224"/>
      <c r="E106" s="348">
        <f>E105+E103</f>
        <v>0</v>
      </c>
      <c r="F106" s="2"/>
      <c r="G106" s="2"/>
      <c r="H106" s="2"/>
      <c r="I106" s="2"/>
      <c r="J106" s="2"/>
      <c r="K106" s="2"/>
    </row>
    <row r="107" spans="1:23" ht="15" x14ac:dyDescent="0.25">
      <c r="A107" s="164" t="s">
        <v>93</v>
      </c>
      <c r="B107" s="157"/>
      <c r="C107" s="158"/>
      <c r="D107" s="159"/>
      <c r="E107" s="159"/>
      <c r="F107" s="146"/>
      <c r="G107" s="56"/>
      <c r="H107" s="190"/>
      <c r="I107" s="58"/>
      <c r="J107" s="58"/>
      <c r="K107" s="58"/>
      <c r="L107" s="56"/>
      <c r="M107" s="56"/>
      <c r="N107" s="56"/>
      <c r="O107" s="56"/>
      <c r="P107" s="56"/>
      <c r="Q107" s="56"/>
      <c r="R107" s="56"/>
      <c r="S107" s="56"/>
      <c r="T107" s="56"/>
      <c r="U107" s="56"/>
      <c r="V107" s="56"/>
      <c r="W107" s="56"/>
    </row>
    <row r="108" spans="1:23" ht="13.5" customHeight="1" x14ac:dyDescent="0.2">
      <c r="A108" s="26"/>
      <c r="B108" s="7"/>
      <c r="C108" s="8"/>
      <c r="D108" s="132"/>
      <c r="E108" s="91" t="s">
        <v>241</v>
      </c>
      <c r="F108" s="2"/>
      <c r="H108" s="56"/>
      <c r="I108" s="56"/>
      <c r="J108" s="56"/>
      <c r="K108" s="56"/>
      <c r="L108" s="56"/>
      <c r="M108" s="56"/>
      <c r="N108" s="56"/>
      <c r="O108" s="56"/>
      <c r="P108" s="56"/>
      <c r="Q108" s="56"/>
      <c r="R108" s="56"/>
      <c r="S108" s="56"/>
    </row>
    <row r="109" spans="1:23" ht="13.5" customHeight="1" x14ac:dyDescent="0.2">
      <c r="A109" s="252" t="s">
        <v>233</v>
      </c>
      <c r="B109" s="7"/>
      <c r="C109" s="8"/>
      <c r="D109" s="132"/>
      <c r="E109" s="258">
        <v>185</v>
      </c>
      <c r="F109" s="2"/>
      <c r="H109" s="56"/>
      <c r="I109" s="56"/>
      <c r="J109" s="56"/>
      <c r="K109" s="56"/>
      <c r="L109" s="56"/>
      <c r="M109" s="56"/>
      <c r="N109" s="56"/>
      <c r="O109" s="56"/>
      <c r="P109" s="56"/>
      <c r="Q109" s="56"/>
      <c r="R109" s="56"/>
      <c r="S109" s="56"/>
    </row>
    <row r="110" spans="1:23" x14ac:dyDescent="0.2">
      <c r="A110" s="252" t="s">
        <v>28</v>
      </c>
      <c r="B110" s="7"/>
      <c r="C110" s="65"/>
      <c r="D110" s="66"/>
      <c r="E110" s="140">
        <v>30</v>
      </c>
      <c r="F110" s="2"/>
      <c r="G110" s="2"/>
      <c r="H110" s="58"/>
      <c r="I110" s="58"/>
      <c r="J110" s="58"/>
      <c r="K110" s="58"/>
      <c r="L110" s="56"/>
      <c r="M110" s="56"/>
      <c r="N110" s="56"/>
      <c r="O110" s="56"/>
      <c r="P110" s="56"/>
      <c r="Q110" s="56"/>
      <c r="R110" s="56"/>
      <c r="S110" s="56"/>
    </row>
    <row r="111" spans="1:23" x14ac:dyDescent="0.2">
      <c r="A111" s="252" t="s">
        <v>102</v>
      </c>
      <c r="B111" s="7"/>
      <c r="C111" s="65"/>
      <c r="D111" s="66"/>
      <c r="E111" s="140">
        <v>0</v>
      </c>
      <c r="F111" s="2"/>
      <c r="G111" s="2"/>
      <c r="H111" s="58"/>
      <c r="I111" s="58"/>
      <c r="J111" s="58"/>
      <c r="K111" s="58"/>
      <c r="L111" s="56"/>
      <c r="M111" s="56"/>
      <c r="N111" s="56"/>
      <c r="O111" s="56"/>
      <c r="P111" s="56"/>
      <c r="Q111" s="56"/>
      <c r="R111" s="56"/>
      <c r="S111" s="56"/>
    </row>
    <row r="112" spans="1:23" ht="15" x14ac:dyDescent="0.25">
      <c r="A112" s="252" t="s">
        <v>91</v>
      </c>
      <c r="B112" s="63" t="s">
        <v>234</v>
      </c>
      <c r="C112" s="65"/>
      <c r="D112" s="66"/>
      <c r="E112" s="140">
        <v>0</v>
      </c>
      <c r="F112" s="2"/>
      <c r="G112" s="2"/>
      <c r="H112" s="189"/>
      <c r="I112" s="13"/>
      <c r="J112" s="13"/>
      <c r="K112" s="13"/>
      <c r="L112" s="42"/>
      <c r="M112" s="42"/>
      <c r="N112" s="42"/>
      <c r="O112" s="42"/>
      <c r="P112" s="42"/>
      <c r="Q112" s="42"/>
      <c r="R112" s="42"/>
      <c r="S112" s="42"/>
    </row>
    <row r="113" spans="1:19" ht="15" x14ac:dyDescent="0.25">
      <c r="A113" s="252" t="s">
        <v>101</v>
      </c>
      <c r="B113" s="63"/>
      <c r="C113" s="65"/>
      <c r="D113" s="66"/>
      <c r="E113" s="281">
        <v>1.45</v>
      </c>
      <c r="F113" s="2"/>
      <c r="G113" s="2"/>
      <c r="H113" s="189"/>
      <c r="I113" s="13"/>
      <c r="J113" s="13"/>
      <c r="K113" s="13"/>
      <c r="L113" s="42"/>
      <c r="M113" s="42"/>
      <c r="N113" s="42"/>
      <c r="O113" s="42"/>
      <c r="P113" s="42"/>
      <c r="Q113" s="42"/>
      <c r="R113" s="42"/>
      <c r="S113" s="42"/>
    </row>
    <row r="114" spans="1:19" x14ac:dyDescent="0.2">
      <c r="A114" s="215" t="s">
        <v>120</v>
      </c>
      <c r="B114" s="216"/>
      <c r="C114" s="217"/>
      <c r="D114" s="218"/>
      <c r="E114" s="348">
        <f>SUM(E109:E113)</f>
        <v>216.45</v>
      </c>
      <c r="F114" s="2"/>
      <c r="G114" s="2"/>
      <c r="H114" s="58"/>
      <c r="I114" s="58"/>
      <c r="J114" s="58"/>
      <c r="K114" s="58"/>
      <c r="L114" s="56"/>
      <c r="M114" s="56"/>
      <c r="N114" s="56"/>
      <c r="O114" s="56"/>
      <c r="P114" s="56"/>
      <c r="Q114" s="56"/>
      <c r="R114" s="56"/>
      <c r="S114" s="56"/>
    </row>
    <row r="115" spans="1:19" x14ac:dyDescent="0.2">
      <c r="A115" s="144"/>
      <c r="B115" s="157"/>
      <c r="C115" s="202"/>
      <c r="D115" s="203"/>
      <c r="E115" s="198"/>
      <c r="F115" s="146"/>
      <c r="G115" s="2"/>
      <c r="H115" s="2"/>
      <c r="I115" s="2"/>
      <c r="J115" s="2"/>
      <c r="K115" s="2"/>
    </row>
    <row r="116" spans="1:19" x14ac:dyDescent="0.2">
      <c r="A116" s="394" t="s">
        <v>203</v>
      </c>
      <c r="B116" s="395"/>
      <c r="C116" s="396"/>
      <c r="D116" s="397"/>
      <c r="E116" s="348">
        <f>E60+E73+E100+E106+E114</f>
        <v>587.45000000000005</v>
      </c>
      <c r="F116" s="2"/>
      <c r="G116" s="2"/>
      <c r="H116" s="2"/>
      <c r="I116" s="2"/>
      <c r="J116" s="2"/>
      <c r="K116" s="2"/>
    </row>
    <row r="117" spans="1:19" x14ac:dyDescent="0.2">
      <c r="A117" s="22"/>
      <c r="B117" s="5"/>
      <c r="C117" s="16"/>
      <c r="D117" s="17"/>
      <c r="E117" s="186"/>
      <c r="F117" s="2"/>
      <c r="G117" s="2"/>
      <c r="H117" s="2"/>
      <c r="I117" s="2"/>
      <c r="J117" s="2"/>
      <c r="K117" s="2"/>
    </row>
    <row r="118" spans="1:19" x14ac:dyDescent="0.2">
      <c r="A118" s="195" t="s">
        <v>100</v>
      </c>
      <c r="B118" s="146"/>
      <c r="C118" s="187"/>
      <c r="D118" s="157"/>
      <c r="E118" s="146"/>
      <c r="F118" s="146"/>
    </row>
    <row r="119" spans="1:19" x14ac:dyDescent="0.2">
      <c r="A119" s="18" t="s">
        <v>121</v>
      </c>
      <c r="B119" s="2"/>
      <c r="C119" s="311" t="s">
        <v>257</v>
      </c>
      <c r="D119" s="323" t="s">
        <v>256</v>
      </c>
      <c r="E119" s="91" t="s">
        <v>241</v>
      </c>
      <c r="F119" s="2"/>
      <c r="Q119" s="87"/>
    </row>
    <row r="120" spans="1:19" x14ac:dyDescent="0.2">
      <c r="A120" s="289" t="s">
        <v>82</v>
      </c>
      <c r="B120" s="7"/>
      <c r="C120" s="112">
        <v>1</v>
      </c>
      <c r="D120" s="139">
        <v>20</v>
      </c>
      <c r="E120" s="339">
        <f>C120*D120</f>
        <v>20</v>
      </c>
      <c r="F120" s="2"/>
    </row>
    <row r="121" spans="1:19" x14ac:dyDescent="0.2">
      <c r="A121" s="289" t="s">
        <v>9</v>
      </c>
      <c r="B121" s="7"/>
      <c r="C121" s="112">
        <v>1</v>
      </c>
      <c r="D121" s="140">
        <v>17.5</v>
      </c>
      <c r="E121" s="339">
        <f t="shared" ref="E121:E128" si="4">C121*D121</f>
        <v>17.5</v>
      </c>
      <c r="F121" s="2"/>
    </row>
    <row r="122" spans="1:19" x14ac:dyDescent="0.2">
      <c r="A122" s="289" t="s">
        <v>328</v>
      </c>
      <c r="B122" s="7"/>
      <c r="C122" s="112">
        <v>1</v>
      </c>
      <c r="D122" s="140">
        <v>20</v>
      </c>
      <c r="E122" s="339">
        <f t="shared" si="4"/>
        <v>20</v>
      </c>
      <c r="F122" s="2"/>
    </row>
    <row r="123" spans="1:19" x14ac:dyDescent="0.2">
      <c r="A123" s="289"/>
      <c r="B123" s="7"/>
      <c r="C123" s="112"/>
      <c r="D123" s="140">
        <v>0</v>
      </c>
      <c r="E123" s="339">
        <f t="shared" si="4"/>
        <v>0</v>
      </c>
      <c r="F123" s="2"/>
    </row>
    <row r="124" spans="1:19" x14ac:dyDescent="0.2">
      <c r="A124" s="289"/>
      <c r="B124" s="7"/>
      <c r="C124" s="112"/>
      <c r="D124" s="140">
        <v>0</v>
      </c>
      <c r="E124" s="339">
        <f t="shared" si="4"/>
        <v>0</v>
      </c>
      <c r="F124" s="2"/>
    </row>
    <row r="125" spans="1:19" ht="14.25" customHeight="1" x14ac:dyDescent="0.2">
      <c r="A125" s="303"/>
      <c r="B125" s="7"/>
      <c r="C125" s="112"/>
      <c r="D125" s="140">
        <v>0</v>
      </c>
      <c r="E125" s="339">
        <f t="shared" si="4"/>
        <v>0</v>
      </c>
      <c r="F125" s="2"/>
    </row>
    <row r="126" spans="1:19" ht="14.25" customHeight="1" x14ac:dyDescent="0.2">
      <c r="A126" s="303"/>
      <c r="B126" s="7"/>
      <c r="C126" s="112"/>
      <c r="D126" s="140">
        <v>0</v>
      </c>
      <c r="E126" s="339">
        <v>0</v>
      </c>
      <c r="F126" s="2"/>
    </row>
    <row r="127" spans="1:19" ht="14.25" customHeight="1" x14ac:dyDescent="0.2">
      <c r="A127" s="303"/>
      <c r="B127" s="7"/>
      <c r="C127" s="112"/>
      <c r="D127" s="140">
        <v>0</v>
      </c>
      <c r="E127" s="339">
        <v>0</v>
      </c>
      <c r="F127" s="2"/>
    </row>
    <row r="128" spans="1:19" ht="12" customHeight="1" x14ac:dyDescent="0.2">
      <c r="A128" s="303"/>
      <c r="B128" s="5"/>
      <c r="C128" s="112"/>
      <c r="D128" s="140">
        <v>0</v>
      </c>
      <c r="E128" s="339">
        <f t="shared" si="4"/>
        <v>0</v>
      </c>
      <c r="F128" s="2"/>
    </row>
    <row r="129" spans="1:19" ht="12.75" customHeight="1" x14ac:dyDescent="0.2">
      <c r="A129" s="289"/>
      <c r="B129" s="399"/>
      <c r="C129" s="112"/>
      <c r="D129" s="140">
        <v>0</v>
      </c>
      <c r="E129" s="343">
        <f>C129*D129</f>
        <v>0</v>
      </c>
      <c r="F129" s="2"/>
    </row>
    <row r="130" spans="1:19" ht="12" customHeight="1" x14ac:dyDescent="0.2">
      <c r="A130" s="394" t="s">
        <v>184</v>
      </c>
      <c r="B130" s="395"/>
      <c r="C130" s="396"/>
      <c r="D130" s="398"/>
      <c r="E130" s="348">
        <f>SUM(E120:E129)</f>
        <v>57.5</v>
      </c>
      <c r="F130" s="2"/>
      <c r="H130" s="563"/>
    </row>
    <row r="131" spans="1:19" ht="12" customHeight="1" x14ac:dyDescent="0.2">
      <c r="A131" s="15"/>
      <c r="B131" s="5"/>
      <c r="C131" s="16"/>
      <c r="D131" s="5"/>
      <c r="E131" s="186"/>
      <c r="F131" s="2"/>
      <c r="H131" s="564"/>
      <c r="I131" s="563" t="s">
        <v>337</v>
      </c>
    </row>
    <row r="132" spans="1:19" ht="12.75" customHeight="1" x14ac:dyDescent="0.2">
      <c r="A132" s="22" t="s">
        <v>221</v>
      </c>
      <c r="B132" s="5"/>
      <c r="C132" s="310" t="s">
        <v>313</v>
      </c>
      <c r="D132" s="310" t="s">
        <v>256</v>
      </c>
      <c r="E132" s="91" t="s">
        <v>241</v>
      </c>
      <c r="F132" s="2"/>
      <c r="I132" s="564" t="s">
        <v>357</v>
      </c>
    </row>
    <row r="133" spans="1:19" ht="12.75" customHeight="1" x14ac:dyDescent="0.2">
      <c r="A133" s="285" t="s">
        <v>348</v>
      </c>
      <c r="B133" s="5"/>
      <c r="C133" s="112">
        <v>3</v>
      </c>
      <c r="D133" s="141">
        <v>17</v>
      </c>
      <c r="E133" s="343">
        <f>C133*D133</f>
        <v>51</v>
      </c>
      <c r="F133" s="2"/>
      <c r="H133" s="563"/>
    </row>
    <row r="134" spans="1:19" ht="12.75" customHeight="1" x14ac:dyDescent="0.2">
      <c r="A134" s="289" t="s">
        <v>352</v>
      </c>
      <c r="B134" s="63"/>
      <c r="C134" s="112">
        <v>3</v>
      </c>
      <c r="D134" s="141">
        <v>8</v>
      </c>
      <c r="E134" s="343">
        <f t="shared" ref="E134:E140" si="5">C134*D134</f>
        <v>24</v>
      </c>
      <c r="F134" s="2"/>
      <c r="H134" s="564"/>
      <c r="I134" s="563" t="s">
        <v>335</v>
      </c>
      <c r="S134" s="32"/>
    </row>
    <row r="135" spans="1:19" ht="12.75" customHeight="1" x14ac:dyDescent="0.2">
      <c r="A135" s="289"/>
      <c r="B135" s="7"/>
      <c r="C135" s="112"/>
      <c r="D135" s="141">
        <v>0</v>
      </c>
      <c r="E135" s="343">
        <f t="shared" si="5"/>
        <v>0</v>
      </c>
      <c r="F135" s="2"/>
      <c r="I135" s="564" t="s">
        <v>336</v>
      </c>
      <c r="S135" s="32"/>
    </row>
    <row r="136" spans="1:19" ht="12.75" customHeight="1" x14ac:dyDescent="0.2">
      <c r="A136" s="289"/>
      <c r="B136" s="63"/>
      <c r="C136" s="112"/>
      <c r="D136" s="141">
        <v>0</v>
      </c>
      <c r="E136" s="343">
        <f t="shared" si="5"/>
        <v>0</v>
      </c>
      <c r="F136" s="2"/>
      <c r="H136" s="563"/>
      <c r="I136" s="57" t="s">
        <v>359</v>
      </c>
      <c r="S136" s="32"/>
    </row>
    <row r="137" spans="1:19" ht="12.75" customHeight="1" x14ac:dyDescent="0.2">
      <c r="A137" s="289"/>
      <c r="B137" s="63"/>
      <c r="C137" s="112"/>
      <c r="D137" s="141">
        <v>0</v>
      </c>
      <c r="E137" s="343">
        <f t="shared" si="5"/>
        <v>0</v>
      </c>
      <c r="F137" s="2"/>
      <c r="H137" s="564"/>
      <c r="S137" s="32"/>
    </row>
    <row r="138" spans="1:19" ht="12.75" customHeight="1" x14ac:dyDescent="0.2">
      <c r="A138" s="289"/>
      <c r="B138" s="63"/>
      <c r="C138" s="112"/>
      <c r="D138" s="141">
        <v>0</v>
      </c>
      <c r="E138" s="343">
        <f t="shared" si="5"/>
        <v>0</v>
      </c>
      <c r="F138" s="2"/>
      <c r="I138" t="s">
        <v>360</v>
      </c>
      <c r="S138" s="32"/>
    </row>
    <row r="139" spans="1:19" ht="12.75" customHeight="1" x14ac:dyDescent="0.2">
      <c r="A139" s="289"/>
      <c r="B139" s="63"/>
      <c r="C139" s="112"/>
      <c r="D139" s="141">
        <v>0</v>
      </c>
      <c r="E139" s="343">
        <f t="shared" si="5"/>
        <v>0</v>
      </c>
      <c r="F139" s="2"/>
      <c r="H139" s="563"/>
      <c r="I139" s="564" t="s">
        <v>361</v>
      </c>
      <c r="S139" s="32"/>
    </row>
    <row r="140" spans="1:19" ht="12.75" customHeight="1" x14ac:dyDescent="0.2">
      <c r="A140" s="289"/>
      <c r="B140" s="402"/>
      <c r="C140" s="112"/>
      <c r="D140" s="140">
        <v>0</v>
      </c>
      <c r="E140" s="343">
        <f t="shared" si="5"/>
        <v>0</v>
      </c>
      <c r="F140" s="2"/>
      <c r="H140" s="564"/>
      <c r="S140" s="32"/>
    </row>
    <row r="141" spans="1:19" ht="12.75" customHeight="1" x14ac:dyDescent="0.2">
      <c r="A141" s="253" t="s">
        <v>222</v>
      </c>
      <c r="B141" s="404"/>
      <c r="C141" s="400"/>
      <c r="D141" s="405"/>
      <c r="E141" s="406">
        <f>SUM(E133:E140)</f>
        <v>75</v>
      </c>
      <c r="F141" s="2"/>
      <c r="I141" s="563" t="s">
        <v>338</v>
      </c>
      <c r="S141" s="32"/>
    </row>
    <row r="142" spans="1:19" ht="12.75" customHeight="1" x14ac:dyDescent="0.2">
      <c r="A142" s="185"/>
      <c r="B142" s="185"/>
      <c r="C142" s="65"/>
      <c r="D142" s="235"/>
      <c r="E142" s="145"/>
      <c r="F142" s="58"/>
      <c r="I142" s="564" t="s">
        <v>339</v>
      </c>
      <c r="S142" s="32"/>
    </row>
    <row r="143" spans="1:19" ht="12.75" customHeight="1" x14ac:dyDescent="0.2">
      <c r="A143" s="288" t="s">
        <v>272</v>
      </c>
      <c r="B143" s="324" t="s">
        <v>312</v>
      </c>
      <c r="C143" s="320" t="s">
        <v>269</v>
      </c>
      <c r="D143" s="321" t="s">
        <v>268</v>
      </c>
      <c r="E143" s="91" t="s">
        <v>241</v>
      </c>
      <c r="F143" s="2"/>
      <c r="S143" s="32"/>
    </row>
    <row r="144" spans="1:19" ht="12.75" customHeight="1" x14ac:dyDescent="0.2">
      <c r="A144" s="289" t="s">
        <v>211</v>
      </c>
      <c r="B144" s="297"/>
      <c r="C144" s="112"/>
      <c r="D144" s="140">
        <v>0</v>
      </c>
      <c r="E144" s="343">
        <f t="shared" ref="E144:E145" si="6">IFERROR((D144/C144)*B144,0)</f>
        <v>0</v>
      </c>
      <c r="F144" s="2"/>
      <c r="I144" s="563" t="s">
        <v>340</v>
      </c>
      <c r="S144" s="32"/>
    </row>
    <row r="145" spans="1:19" ht="12.75" customHeight="1" x14ac:dyDescent="0.2">
      <c r="A145" s="289"/>
      <c r="B145" s="297"/>
      <c r="C145" s="112"/>
      <c r="D145" s="141">
        <v>0</v>
      </c>
      <c r="E145" s="343">
        <f t="shared" si="6"/>
        <v>0</v>
      </c>
      <c r="F145" s="2"/>
      <c r="I145" s="564" t="s">
        <v>358</v>
      </c>
      <c r="S145" s="32"/>
    </row>
    <row r="146" spans="1:19" ht="12.75" customHeight="1" x14ac:dyDescent="0.2">
      <c r="A146" s="289"/>
      <c r="B146" s="297"/>
      <c r="C146" s="112"/>
      <c r="D146" s="141">
        <v>0</v>
      </c>
      <c r="E146" s="343">
        <f>IFERROR((D146/C146)*B146,0)</f>
        <v>0</v>
      </c>
      <c r="F146" s="2"/>
      <c r="S146" s="32"/>
    </row>
    <row r="147" spans="1:19" ht="12.75" customHeight="1" x14ac:dyDescent="0.2">
      <c r="A147" s="289"/>
      <c r="B147" s="297"/>
      <c r="C147" s="112"/>
      <c r="D147" s="141">
        <v>0</v>
      </c>
      <c r="E147" s="343">
        <f t="shared" ref="E147:E151" si="7">IFERROR((D147/C147)*B147,0)</f>
        <v>0</v>
      </c>
      <c r="F147" s="2"/>
      <c r="S147" s="32"/>
    </row>
    <row r="148" spans="1:19" ht="12.75" customHeight="1" x14ac:dyDescent="0.2">
      <c r="A148" s="289"/>
      <c r="B148" s="297"/>
      <c r="C148" s="112"/>
      <c r="D148" s="141">
        <v>0</v>
      </c>
      <c r="E148" s="343">
        <f t="shared" si="7"/>
        <v>0</v>
      </c>
      <c r="F148" s="2"/>
      <c r="S148" s="32"/>
    </row>
    <row r="149" spans="1:19" ht="12.75" customHeight="1" x14ac:dyDescent="0.2">
      <c r="A149" s="289"/>
      <c r="B149" s="297"/>
      <c r="C149" s="112"/>
      <c r="D149" s="141">
        <v>0</v>
      </c>
      <c r="E149" s="343">
        <f t="shared" si="7"/>
        <v>0</v>
      </c>
      <c r="F149" s="2"/>
      <c r="S149" s="32"/>
    </row>
    <row r="150" spans="1:19" ht="12.75" customHeight="1" x14ac:dyDescent="0.2">
      <c r="A150" s="326"/>
      <c r="B150" s="297"/>
      <c r="C150" s="123"/>
      <c r="D150" s="259">
        <v>0</v>
      </c>
      <c r="E150" s="343">
        <f t="shared" si="7"/>
        <v>0</v>
      </c>
      <c r="F150" s="2"/>
      <c r="S150" s="32"/>
    </row>
    <row r="151" spans="1:19" ht="12.75" customHeight="1" x14ac:dyDescent="0.2">
      <c r="A151" s="289"/>
      <c r="B151" s="297"/>
      <c r="C151" s="112"/>
      <c r="D151" s="140">
        <v>0</v>
      </c>
      <c r="E151" s="343">
        <f t="shared" si="7"/>
        <v>0</v>
      </c>
      <c r="F151" s="2"/>
      <c r="S151" s="32"/>
    </row>
    <row r="152" spans="1:19" ht="12.75" customHeight="1" x14ac:dyDescent="0.2">
      <c r="A152" s="411" t="s">
        <v>223</v>
      </c>
      <c r="B152" s="415"/>
      <c r="C152" s="413"/>
      <c r="D152" s="414"/>
      <c r="E152" s="348">
        <f>SUM(E144:E151)</f>
        <v>0</v>
      </c>
      <c r="F152" s="2"/>
      <c r="S152" s="32"/>
    </row>
    <row r="153" spans="1:19" s="42" customFormat="1" ht="12.75" customHeight="1" x14ac:dyDescent="0.2">
      <c r="A153" s="185"/>
      <c r="B153" s="185"/>
      <c r="C153" s="65"/>
      <c r="D153" s="235"/>
      <c r="E153" s="145"/>
      <c r="F153" s="13"/>
      <c r="S153" s="283"/>
    </row>
    <row r="154" spans="1:19" s="56" customFormat="1" ht="12.75" customHeight="1" x14ac:dyDescent="0.2">
      <c r="A154" s="359" t="s">
        <v>310</v>
      </c>
      <c r="B154" s="199"/>
      <c r="C154" s="320" t="s">
        <v>311</v>
      </c>
      <c r="D154" s="332" t="s">
        <v>302</v>
      </c>
      <c r="E154" s="145"/>
      <c r="F154" s="58"/>
      <c r="S154" s="200"/>
    </row>
    <row r="155" spans="1:19" ht="12.75" customHeight="1" x14ac:dyDescent="0.2">
      <c r="A155" s="289"/>
      <c r="B155" s="63"/>
      <c r="C155" s="112"/>
      <c r="D155" s="140">
        <v>0</v>
      </c>
      <c r="E155" s="343">
        <f>C155*D155</f>
        <v>0</v>
      </c>
      <c r="F155" s="2"/>
      <c r="S155" s="32"/>
    </row>
    <row r="156" spans="1:19" ht="12.75" customHeight="1" x14ac:dyDescent="0.2">
      <c r="A156" s="289"/>
      <c r="B156" s="63"/>
      <c r="C156" s="112"/>
      <c r="D156" s="141">
        <v>0</v>
      </c>
      <c r="E156" s="343">
        <f t="shared" ref="E156:E161" si="8">C156*D156</f>
        <v>0</v>
      </c>
      <c r="F156" s="2"/>
      <c r="S156" s="32"/>
    </row>
    <row r="157" spans="1:19" ht="12.75" customHeight="1" x14ac:dyDescent="0.2">
      <c r="A157" s="289" t="s">
        <v>353</v>
      </c>
      <c r="B157" s="63"/>
      <c r="C157" s="112">
        <v>5</v>
      </c>
      <c r="D157" s="141">
        <v>12</v>
      </c>
      <c r="E157" s="343">
        <f t="shared" si="8"/>
        <v>60</v>
      </c>
      <c r="F157" s="2"/>
      <c r="S157" s="32"/>
    </row>
    <row r="158" spans="1:19" ht="12.75" customHeight="1" x14ac:dyDescent="0.2">
      <c r="A158" s="289"/>
      <c r="B158" s="63"/>
      <c r="C158" s="112"/>
      <c r="D158" s="141">
        <v>0</v>
      </c>
      <c r="E158" s="343">
        <f t="shared" si="8"/>
        <v>0</v>
      </c>
      <c r="F158" s="2"/>
      <c r="S158" s="32"/>
    </row>
    <row r="159" spans="1:19" ht="12.75" customHeight="1" x14ac:dyDescent="0.2">
      <c r="A159" s="289"/>
      <c r="B159" s="63"/>
      <c r="C159" s="112"/>
      <c r="D159" s="141">
        <v>0</v>
      </c>
      <c r="E159" s="343">
        <f t="shared" si="8"/>
        <v>0</v>
      </c>
      <c r="F159" s="2"/>
      <c r="S159" s="32"/>
    </row>
    <row r="160" spans="1:19" ht="12.75" customHeight="1" x14ac:dyDescent="0.2">
      <c r="A160" s="289"/>
      <c r="B160" s="63"/>
      <c r="C160" s="112"/>
      <c r="D160" s="141">
        <v>0</v>
      </c>
      <c r="E160" s="343">
        <f t="shared" si="8"/>
        <v>0</v>
      </c>
      <c r="F160" s="2"/>
      <c r="S160" s="32"/>
    </row>
    <row r="161" spans="1:19" ht="12.75" customHeight="1" x14ac:dyDescent="0.2">
      <c r="A161" s="289"/>
      <c r="B161" s="402"/>
      <c r="C161" s="112"/>
      <c r="D161" s="140">
        <v>0</v>
      </c>
      <c r="E161" s="343">
        <f t="shared" si="8"/>
        <v>0</v>
      </c>
      <c r="F161" s="2"/>
      <c r="S161" s="32"/>
    </row>
    <row r="162" spans="1:19" ht="12.75" customHeight="1" x14ac:dyDescent="0.2">
      <c r="A162" s="410" t="s">
        <v>224</v>
      </c>
      <c r="B162" s="404"/>
      <c r="C162" s="400"/>
      <c r="D162" s="405"/>
      <c r="E162" s="348">
        <f>SUM(E155:E161)</f>
        <v>60</v>
      </c>
      <c r="F162" s="2"/>
      <c r="S162" s="32"/>
    </row>
    <row r="163" spans="1:19" s="42" customFormat="1" ht="12.75" customHeight="1" x14ac:dyDescent="0.2">
      <c r="A163" s="185"/>
      <c r="B163" s="185"/>
      <c r="C163" s="65"/>
      <c r="D163" s="235"/>
      <c r="E163" s="145"/>
      <c r="F163" s="13"/>
      <c r="S163" s="283"/>
    </row>
    <row r="164" spans="1:19" s="56" customFormat="1" ht="12.75" customHeight="1" x14ac:dyDescent="0.2">
      <c r="A164" s="359" t="s">
        <v>274</v>
      </c>
      <c r="B164" s="185"/>
      <c r="C164" s="320" t="s">
        <v>309</v>
      </c>
      <c r="D164" s="321" t="s">
        <v>240</v>
      </c>
      <c r="E164" s="145"/>
      <c r="F164" s="58"/>
      <c r="S164" s="200"/>
    </row>
    <row r="165" spans="1:19" ht="12.75" customHeight="1" x14ac:dyDescent="0.2">
      <c r="A165" s="289"/>
      <c r="B165" s="63"/>
      <c r="C165" s="112"/>
      <c r="D165" s="140">
        <v>0</v>
      </c>
      <c r="E165" s="343">
        <f>C165*D165</f>
        <v>0</v>
      </c>
      <c r="F165" s="2"/>
      <c r="S165" s="32"/>
    </row>
    <row r="166" spans="1:19" ht="12.75" customHeight="1" x14ac:dyDescent="0.2">
      <c r="A166" s="289"/>
      <c r="B166" s="63"/>
      <c r="C166" s="112"/>
      <c r="D166" s="140">
        <v>0</v>
      </c>
      <c r="E166" s="343">
        <f t="shared" ref="E166:E171" si="9">C166*D166</f>
        <v>0</v>
      </c>
      <c r="F166" s="2"/>
      <c r="S166" s="32"/>
    </row>
    <row r="167" spans="1:19" ht="12.75" customHeight="1" x14ac:dyDescent="0.2">
      <c r="A167" s="289"/>
      <c r="B167" s="63"/>
      <c r="C167" s="112"/>
      <c r="D167" s="140">
        <v>0</v>
      </c>
      <c r="E167" s="343">
        <f t="shared" si="9"/>
        <v>0</v>
      </c>
      <c r="F167" s="2"/>
      <c r="S167" s="32"/>
    </row>
    <row r="168" spans="1:19" ht="12.75" customHeight="1" x14ac:dyDescent="0.2">
      <c r="A168" s="289"/>
      <c r="B168" s="63"/>
      <c r="C168" s="112"/>
      <c r="D168" s="140">
        <v>0</v>
      </c>
      <c r="E168" s="343">
        <f t="shared" si="9"/>
        <v>0</v>
      </c>
      <c r="F168" s="2"/>
      <c r="S168" s="32"/>
    </row>
    <row r="169" spans="1:19" ht="12.75" customHeight="1" x14ac:dyDescent="0.2">
      <c r="A169" s="289"/>
      <c r="B169" s="63"/>
      <c r="C169" s="112"/>
      <c r="D169" s="140">
        <v>0</v>
      </c>
      <c r="E169" s="343">
        <f t="shared" si="9"/>
        <v>0</v>
      </c>
      <c r="F169" s="2"/>
      <c r="S169" s="32"/>
    </row>
    <row r="170" spans="1:19" ht="12.75" customHeight="1" x14ac:dyDescent="0.2">
      <c r="A170" s="326"/>
      <c r="B170" s="63"/>
      <c r="C170" s="112"/>
      <c r="D170" s="281">
        <v>0</v>
      </c>
      <c r="E170" s="344">
        <f t="shared" si="9"/>
        <v>0</v>
      </c>
      <c r="F170" s="2"/>
      <c r="S170" s="32"/>
    </row>
    <row r="171" spans="1:19" ht="12.75" customHeight="1" x14ac:dyDescent="0.2">
      <c r="A171" s="289"/>
      <c r="B171" s="402"/>
      <c r="C171" s="112"/>
      <c r="D171" s="140">
        <v>0</v>
      </c>
      <c r="E171" s="343">
        <f t="shared" si="9"/>
        <v>0</v>
      </c>
      <c r="F171" s="2"/>
      <c r="S171" s="32"/>
    </row>
    <row r="172" spans="1:19" ht="12.75" customHeight="1" x14ac:dyDescent="0.2">
      <c r="A172" s="411" t="s">
        <v>225</v>
      </c>
      <c r="B172" s="412"/>
      <c r="C172" s="413"/>
      <c r="D172" s="414"/>
      <c r="E172" s="348">
        <f>SUM(E165:E171)</f>
        <v>0</v>
      </c>
      <c r="F172" s="2"/>
      <c r="S172" s="32"/>
    </row>
    <row r="173" spans="1:19" s="56" customFormat="1" ht="12.75" customHeight="1" x14ac:dyDescent="0.2">
      <c r="A173" s="185"/>
      <c r="B173" s="185"/>
      <c r="C173" s="65"/>
      <c r="D173" s="235"/>
      <c r="E173" s="145"/>
      <c r="F173" s="13"/>
      <c r="S173" s="200"/>
    </row>
    <row r="174" spans="1:19" ht="12.75" customHeight="1" x14ac:dyDescent="0.2">
      <c r="A174" s="288" t="s">
        <v>34</v>
      </c>
      <c r="B174" s="324" t="s">
        <v>276</v>
      </c>
      <c r="C174" s="320" t="s">
        <v>124</v>
      </c>
      <c r="D174" s="333" t="s">
        <v>254</v>
      </c>
      <c r="E174" s="91" t="s">
        <v>241</v>
      </c>
      <c r="F174" s="58"/>
      <c r="S174" s="32"/>
    </row>
    <row r="175" spans="1:19" ht="12.75" customHeight="1" x14ac:dyDescent="0.2">
      <c r="A175" s="289" t="s">
        <v>134</v>
      </c>
      <c r="B175" s="297">
        <v>15</v>
      </c>
      <c r="C175" s="112">
        <v>10</v>
      </c>
      <c r="D175" s="115">
        <v>4</v>
      </c>
      <c r="E175" s="343">
        <f>((C175*D175)*((C14+C15)/B175))</f>
        <v>7.7333333333333334</v>
      </c>
      <c r="F175" s="2"/>
      <c r="S175" s="32"/>
    </row>
    <row r="176" spans="1:19" ht="12.75" customHeight="1" x14ac:dyDescent="0.2">
      <c r="A176" s="326"/>
      <c r="B176" s="297">
        <v>10</v>
      </c>
      <c r="C176" s="123"/>
      <c r="D176" s="259"/>
      <c r="E176" s="344">
        <f>((C176*D176)*(C16/B176))</f>
        <v>0</v>
      </c>
      <c r="F176" s="2"/>
      <c r="S176" s="32"/>
    </row>
    <row r="177" spans="1:19" ht="12.75" customHeight="1" x14ac:dyDescent="0.2">
      <c r="A177" s="239" t="s">
        <v>123</v>
      </c>
      <c r="B177" s="237"/>
      <c r="C177" s="217"/>
      <c r="D177" s="218"/>
      <c r="E177" s="348">
        <f>E141+E152+E162+E172+E175+E176</f>
        <v>142.73333333333332</v>
      </c>
      <c r="F177" s="2"/>
      <c r="S177" s="32"/>
    </row>
    <row r="178" spans="1:19" ht="12.75" customHeight="1" x14ac:dyDescent="0.2">
      <c r="A178" s="164" t="s">
        <v>32</v>
      </c>
      <c r="B178" s="209"/>
      <c r="C178" s="161"/>
      <c r="D178" s="162"/>
      <c r="E178" s="163"/>
      <c r="F178" s="210"/>
      <c r="S178" s="32"/>
    </row>
    <row r="179" spans="1:19" ht="12.75" customHeight="1" x14ac:dyDescent="0.2">
      <c r="A179" s="185"/>
      <c r="B179" s="334" t="s">
        <v>180</v>
      </c>
      <c r="C179" s="334" t="s">
        <v>277</v>
      </c>
      <c r="D179" s="335" t="s">
        <v>278</v>
      </c>
      <c r="E179" s="91" t="s">
        <v>241</v>
      </c>
      <c r="F179" s="13"/>
      <c r="S179" s="32"/>
    </row>
    <row r="180" spans="1:19" ht="12.75" customHeight="1" x14ac:dyDescent="0.2">
      <c r="A180" s="289" t="s">
        <v>213</v>
      </c>
      <c r="B180" s="309">
        <v>1</v>
      </c>
      <c r="C180" s="257">
        <v>0</v>
      </c>
      <c r="D180" s="258">
        <v>1000</v>
      </c>
      <c r="E180" s="376">
        <f>IFERROR(((D180/C180)*($C$14+$C$15))*B180,0)</f>
        <v>0</v>
      </c>
      <c r="F180" s="13"/>
      <c r="S180" s="32"/>
    </row>
    <row r="181" spans="1:19" ht="12.75" customHeight="1" x14ac:dyDescent="0.25">
      <c r="A181" s="289" t="s">
        <v>212</v>
      </c>
      <c r="B181" s="309">
        <v>0</v>
      </c>
      <c r="C181" s="112">
        <v>0</v>
      </c>
      <c r="D181" s="140">
        <v>0</v>
      </c>
      <c r="E181" s="343">
        <f t="shared" ref="E181:E182" si="10">IFERROR(((D181/C181)*($C$14+$C$15))*B181,0)</f>
        <v>0</v>
      </c>
      <c r="F181" s="13"/>
      <c r="H181" s="273" t="s">
        <v>362</v>
      </c>
      <c r="I181" s="262"/>
      <c r="J181" s="262"/>
      <c r="K181" s="262"/>
      <c r="L181" s="263"/>
      <c r="M181" s="264"/>
      <c r="S181" s="32"/>
    </row>
    <row r="182" spans="1:19" ht="12.75" customHeight="1" x14ac:dyDescent="0.25">
      <c r="A182" s="289" t="s">
        <v>182</v>
      </c>
      <c r="B182" s="309"/>
      <c r="C182" s="112"/>
      <c r="D182" s="140"/>
      <c r="E182" s="343">
        <f t="shared" si="10"/>
        <v>0</v>
      </c>
      <c r="F182" s="13"/>
      <c r="H182" s="578" t="s">
        <v>363</v>
      </c>
      <c r="I182" s="579"/>
      <c r="J182" s="266"/>
      <c r="K182" s="267"/>
      <c r="L182" s="580" t="s">
        <v>364</v>
      </c>
      <c r="M182" s="581"/>
      <c r="S182" s="32"/>
    </row>
    <row r="183" spans="1:19" ht="12.75" customHeight="1" x14ac:dyDescent="0.25">
      <c r="A183" s="279"/>
      <c r="B183" s="185" t="s">
        <v>181</v>
      </c>
      <c r="C183" s="201" t="s">
        <v>280</v>
      </c>
      <c r="D183" s="409" t="s">
        <v>279</v>
      </c>
      <c r="E183" s="156"/>
      <c r="F183" s="13"/>
      <c r="H183" s="582" t="s">
        <v>365</v>
      </c>
      <c r="I183" s="266"/>
      <c r="J183" s="266"/>
      <c r="K183" s="266"/>
      <c r="L183" s="579" t="s">
        <v>366</v>
      </c>
      <c r="M183" s="269"/>
      <c r="S183" s="32"/>
    </row>
    <row r="184" spans="1:19" ht="12.75" customHeight="1" x14ac:dyDescent="0.25">
      <c r="A184" s="289" t="s">
        <v>179</v>
      </c>
      <c r="B184" s="297"/>
      <c r="C184" s="112"/>
      <c r="D184" s="140"/>
      <c r="E184" s="343">
        <f>IFERROR(((D184/C184)*($C$14+$C$15))*B184,0)</f>
        <v>0</v>
      </c>
      <c r="F184" s="13"/>
      <c r="H184" s="582" t="s">
        <v>367</v>
      </c>
      <c r="I184" s="266"/>
      <c r="J184" s="266"/>
      <c r="K184" s="266"/>
      <c r="L184" s="579" t="s">
        <v>374</v>
      </c>
      <c r="M184" s="269"/>
      <c r="S184" s="32"/>
    </row>
    <row r="185" spans="1:19" ht="12.75" customHeight="1" x14ac:dyDescent="0.25">
      <c r="A185" s="185"/>
      <c r="B185" s="185"/>
      <c r="C185" s="69"/>
      <c r="D185" s="321" t="s">
        <v>155</v>
      </c>
      <c r="E185" s="91" t="s">
        <v>241</v>
      </c>
      <c r="F185" s="13"/>
      <c r="H185" s="582" t="s">
        <v>368</v>
      </c>
      <c r="I185" s="266"/>
      <c r="J185" s="266"/>
      <c r="K185" s="266"/>
      <c r="L185" s="579" t="s">
        <v>375</v>
      </c>
      <c r="M185" s="269"/>
      <c r="S185" s="32"/>
    </row>
    <row r="186" spans="1:19" ht="12.75" customHeight="1" x14ac:dyDescent="0.25">
      <c r="A186" s="185" t="s">
        <v>214</v>
      </c>
      <c r="B186" s="274"/>
      <c r="C186" s="65"/>
      <c r="D186" s="276">
        <v>0.1</v>
      </c>
      <c r="E186" s="349">
        <f>(E18)*D186</f>
        <v>58</v>
      </c>
      <c r="F186" s="13"/>
      <c r="H186" s="582" t="s">
        <v>369</v>
      </c>
      <c r="I186" s="583"/>
      <c r="J186" s="583"/>
      <c r="K186" s="583"/>
      <c r="L186" s="584" t="s">
        <v>376</v>
      </c>
      <c r="M186" s="269"/>
      <c r="S186" s="32"/>
    </row>
    <row r="187" spans="1:19" s="56" customFormat="1" ht="12.75" customHeight="1" x14ac:dyDescent="0.25">
      <c r="A187" s="205" t="s">
        <v>104</v>
      </c>
      <c r="B187" s="160"/>
      <c r="C187" s="206"/>
      <c r="D187" s="207"/>
      <c r="E187" s="208"/>
      <c r="F187" s="146"/>
      <c r="H187" s="582" t="s">
        <v>370</v>
      </c>
      <c r="I187" s="585"/>
      <c r="J187" s="585"/>
      <c r="K187" s="585"/>
      <c r="L187" s="585" t="s">
        <v>377</v>
      </c>
      <c r="M187" s="587"/>
      <c r="S187" s="200"/>
    </row>
    <row r="188" spans="1:19" ht="12.75" customHeight="1" x14ac:dyDescent="0.25">
      <c r="A188" s="185"/>
      <c r="B188" s="185"/>
      <c r="C188" s="320" t="s">
        <v>125</v>
      </c>
      <c r="D188" s="321" t="s">
        <v>105</v>
      </c>
      <c r="E188" s="85" t="s">
        <v>241</v>
      </c>
      <c r="F188" s="2"/>
      <c r="G188" s="29"/>
      <c r="H188" s="582" t="s">
        <v>371</v>
      </c>
      <c r="I188" s="585"/>
      <c r="J188" s="585"/>
      <c r="K188" s="585"/>
      <c r="L188" s="585" t="s">
        <v>378</v>
      </c>
      <c r="M188" s="587"/>
      <c r="S188" s="32"/>
    </row>
    <row r="189" spans="1:19" ht="12.75" customHeight="1" x14ac:dyDescent="0.25">
      <c r="A189" s="365" t="s">
        <v>45</v>
      </c>
      <c r="B189" s="366"/>
      <c r="C189" s="240">
        <v>1.5</v>
      </c>
      <c r="D189" s="140">
        <v>15</v>
      </c>
      <c r="E189" s="343">
        <f>C189*D189</f>
        <v>22.5</v>
      </c>
      <c r="F189" s="2"/>
      <c r="H189" s="582" t="s">
        <v>372</v>
      </c>
      <c r="I189" s="585"/>
      <c r="J189" s="585"/>
      <c r="K189" s="585"/>
      <c r="L189" s="585" t="s">
        <v>379</v>
      </c>
      <c r="M189" s="587"/>
      <c r="S189" s="32"/>
    </row>
    <row r="190" spans="1:19" ht="12.75" customHeight="1" x14ac:dyDescent="0.25">
      <c r="A190" s="185"/>
      <c r="B190" s="185"/>
      <c r="C190" s="65"/>
      <c r="D190" s="66"/>
      <c r="E190" s="17"/>
      <c r="F190" s="2"/>
      <c r="H190" s="589" t="s">
        <v>373</v>
      </c>
      <c r="I190" s="586"/>
      <c r="J190" s="586"/>
      <c r="K190" s="586"/>
      <c r="L190" s="586" t="s">
        <v>380</v>
      </c>
      <c r="M190" s="588"/>
      <c r="S190" s="32"/>
    </row>
    <row r="191" spans="1:19" ht="12.75" customHeight="1" x14ac:dyDescent="0.25">
      <c r="A191" s="209"/>
      <c r="B191" s="167"/>
      <c r="C191" s="161"/>
      <c r="D191" s="162"/>
      <c r="E191" s="211"/>
      <c r="F191" s="146"/>
      <c r="H191" s="591" t="s">
        <v>381</v>
      </c>
    </row>
    <row r="192" spans="1:19" ht="12.75" customHeight="1" x14ac:dyDescent="0.2">
      <c r="A192" s="52" t="s">
        <v>113</v>
      </c>
      <c r="B192" s="2"/>
      <c r="C192" s="327">
        <v>5.1999999999999998E-2</v>
      </c>
      <c r="D192" s="2"/>
      <c r="E192" s="339">
        <f>(C192*0.67)*(E116+(0.2*E130))</f>
        <v>20.867418000000004</v>
      </c>
      <c r="F192" s="2"/>
      <c r="G192" s="136" t="s">
        <v>59</v>
      </c>
      <c r="H192" s="137"/>
      <c r="I192" s="137"/>
      <c r="J192" s="137"/>
      <c r="K192" s="137"/>
      <c r="L192" s="138"/>
    </row>
    <row r="193" spans="1:13" ht="12.75" customHeight="1" x14ac:dyDescent="0.2">
      <c r="A193" s="23"/>
      <c r="B193" s="2"/>
      <c r="C193" s="2"/>
      <c r="D193" s="2"/>
      <c r="E193" s="30"/>
      <c r="F193" s="2"/>
      <c r="G193" s="20"/>
      <c r="H193" s="20"/>
      <c r="I193" s="70"/>
      <c r="J193" s="70"/>
      <c r="K193" s="20"/>
      <c r="L193" s="70"/>
      <c r="M193" s="71"/>
    </row>
    <row r="194" spans="1:13" ht="12.75" customHeight="1" x14ac:dyDescent="0.2">
      <c r="A194" s="52" t="s">
        <v>85</v>
      </c>
      <c r="B194" s="68"/>
      <c r="C194" s="69"/>
      <c r="D194" s="66"/>
      <c r="E194" s="341">
        <f>E18*0.05</f>
        <v>29</v>
      </c>
      <c r="F194" s="58"/>
    </row>
    <row r="195" spans="1:13" ht="12.75" customHeight="1" x14ac:dyDescent="0.2">
      <c r="A195" s="67" t="s">
        <v>232</v>
      </c>
      <c r="B195" s="2"/>
      <c r="C195" s="24"/>
      <c r="E195" s="341">
        <f>E116+E130+E177+E180+E181+E182+E184+E189+E192</f>
        <v>831.05075133333344</v>
      </c>
      <c r="F195" s="2"/>
    </row>
    <row r="196" spans="1:13" ht="12.75" customHeight="1" x14ac:dyDescent="0.2">
      <c r="A196" s="67" t="s">
        <v>231</v>
      </c>
      <c r="B196" s="2"/>
      <c r="C196" s="2"/>
      <c r="D196" s="24"/>
      <c r="E196" s="341">
        <f>E18-E195</f>
        <v>-251.05075133333344</v>
      </c>
      <c r="F196" s="2"/>
    </row>
    <row r="197" spans="1:13" ht="14.25" x14ac:dyDescent="0.2">
      <c r="A197" s="33"/>
      <c r="B197" s="2"/>
      <c r="C197" s="85"/>
      <c r="D197" s="85"/>
      <c r="E197" s="86"/>
    </row>
    <row r="198" spans="1:13" x14ac:dyDescent="0.2">
      <c r="A198" s="252" t="s">
        <v>219</v>
      </c>
      <c r="B198" s="7"/>
      <c r="C198" s="65"/>
      <c r="D198" s="84"/>
      <c r="E198" s="350">
        <f>E195/(C14+C15)</f>
        <v>286.56922459770118</v>
      </c>
    </row>
    <row r="199" spans="1:13" x14ac:dyDescent="0.2">
      <c r="A199" s="329" t="s">
        <v>220</v>
      </c>
      <c r="B199" s="7"/>
      <c r="C199" s="2"/>
      <c r="D199" s="2"/>
      <c r="E199" s="341">
        <f>E195/(C16+C17)</f>
        <v>337.14026423258963</v>
      </c>
    </row>
    <row r="200" spans="1:13" x14ac:dyDescent="0.2">
      <c r="A200" s="6"/>
      <c r="B200" s="7"/>
      <c r="C200" s="2"/>
      <c r="D200" s="2"/>
      <c r="E200" s="2"/>
    </row>
    <row r="201" spans="1:13" x14ac:dyDescent="0.2">
      <c r="C201" s="595" t="s">
        <v>26</v>
      </c>
      <c r="D201" s="596"/>
      <c r="E201" s="596"/>
      <c r="F201" s="596"/>
      <c r="G201" s="597"/>
    </row>
    <row r="202" spans="1:13" x14ac:dyDescent="0.2">
      <c r="C202" s="558"/>
      <c r="D202" s="559"/>
      <c r="E202" s="559"/>
      <c r="F202" s="559"/>
      <c r="G202" s="560"/>
    </row>
    <row r="203" spans="1:13" x14ac:dyDescent="0.2">
      <c r="C203" s="600" t="s">
        <v>18</v>
      </c>
      <c r="D203" s="601"/>
      <c r="E203" s="601"/>
      <c r="F203" s="601"/>
      <c r="G203" s="602"/>
    </row>
    <row r="204" spans="1:13" x14ac:dyDescent="0.2">
      <c r="A204" s="598" t="s">
        <v>24</v>
      </c>
      <c r="B204" s="599"/>
      <c r="C204" s="35"/>
      <c r="D204" s="35"/>
      <c r="E204" s="35"/>
      <c r="F204" s="36"/>
      <c r="G204" s="36"/>
    </row>
    <row r="205" spans="1:13" x14ac:dyDescent="0.2">
      <c r="A205" s="357" t="s">
        <v>27</v>
      </c>
      <c r="B205" s="561" t="s">
        <v>303</v>
      </c>
      <c r="C205" s="600" t="s">
        <v>26</v>
      </c>
      <c r="D205" s="601"/>
      <c r="E205" s="601"/>
      <c r="F205" s="601"/>
      <c r="G205" s="602"/>
    </row>
    <row r="206" spans="1:13" x14ac:dyDescent="0.2">
      <c r="A206" s="38" t="s">
        <v>21</v>
      </c>
      <c r="B206" s="39">
        <f>C14*1.2</f>
        <v>3.48</v>
      </c>
      <c r="C206" s="40">
        <f>(C$211*$B206)-$E$195</f>
        <v>-274.25075133333348</v>
      </c>
      <c r="D206" s="40">
        <f>(D$211*B206)-$E$195</f>
        <v>-204.65075133333346</v>
      </c>
      <c r="E206" s="40">
        <f>(E$211*$B206)-E$195</f>
        <v>-135.05075133333344</v>
      </c>
      <c r="F206" s="41">
        <f>(F$211*$B206)-E$195</f>
        <v>-65.450751333333301</v>
      </c>
      <c r="G206" s="41">
        <f>(G$211*B206)-E$195</f>
        <v>4.1492486666666082</v>
      </c>
    </row>
    <row r="207" spans="1:13" x14ac:dyDescent="0.2">
      <c r="A207" s="38" t="s">
        <v>20</v>
      </c>
      <c r="B207" s="39">
        <f>C14*1.1</f>
        <v>3.19</v>
      </c>
      <c r="C207" s="40">
        <f>(C$211*B207)-$E$195</f>
        <v>-320.65075133333346</v>
      </c>
      <c r="D207" s="40">
        <f>(D$211*B207)-$E$195</f>
        <v>-256.85075133333339</v>
      </c>
      <c r="E207" s="40">
        <f>(E$211*$B207)-E$195</f>
        <v>-193.05075133333344</v>
      </c>
      <c r="F207" s="41">
        <f>(F$211*$B207)-E$195</f>
        <v>-129.25075133333337</v>
      </c>
      <c r="G207" s="41">
        <f>(G$211*B207)-E$195</f>
        <v>-65.450751333333415</v>
      </c>
    </row>
    <row r="208" spans="1:13" x14ac:dyDescent="0.2">
      <c r="A208" s="250"/>
      <c r="B208" s="39">
        <f>C14</f>
        <v>2.9</v>
      </c>
      <c r="C208" s="40">
        <f>(C$211*B208)-$E$195</f>
        <v>-367.05075133333344</v>
      </c>
      <c r="D208" s="40">
        <f>(D$211*B208)-$E$195</f>
        <v>-309.05075133333344</v>
      </c>
      <c r="E208" s="43">
        <f>(E$211*$B208)-E$195</f>
        <v>-251.05075133333344</v>
      </c>
      <c r="F208" s="41">
        <f>(F$211*$B208)-E$195</f>
        <v>-193.05075133333332</v>
      </c>
      <c r="G208" s="41">
        <f>(G$211*B208)-E$195</f>
        <v>-135.05075133333344</v>
      </c>
    </row>
    <row r="209" spans="1:7" x14ac:dyDescent="0.2">
      <c r="A209" s="38" t="s">
        <v>22</v>
      </c>
      <c r="B209" s="39">
        <f>C14*0.9</f>
        <v>2.61</v>
      </c>
      <c r="C209" s="40">
        <f>(C$211*B209)-$E$195</f>
        <v>-413.45075133333347</v>
      </c>
      <c r="D209" s="40">
        <f>(D$211*B209)-$E$195</f>
        <v>-361.25075133333348</v>
      </c>
      <c r="E209" s="40">
        <f>(E$211*$B209)-E$195</f>
        <v>-309.05075133333344</v>
      </c>
      <c r="F209" s="41">
        <f>(F$211*$B209)-E$195</f>
        <v>-256.85075133333339</v>
      </c>
      <c r="G209" s="41">
        <f>(G$211*B209)-E$195</f>
        <v>-204.65075133333346</v>
      </c>
    </row>
    <row r="210" spans="1:7" x14ac:dyDescent="0.2">
      <c r="A210" s="38" t="s">
        <v>23</v>
      </c>
      <c r="B210" s="39">
        <f>C14*0.8</f>
        <v>2.3199999999999998</v>
      </c>
      <c r="C210" s="40">
        <f>(C$211*B210)-$E$195</f>
        <v>-459.85075133333345</v>
      </c>
      <c r="D210" s="40">
        <f>(D$211*B210)-$E$195</f>
        <v>-413.45075133333347</v>
      </c>
      <c r="E210" s="40">
        <f>(E$211*$B210)-E$195</f>
        <v>-367.05075133333349</v>
      </c>
      <c r="F210" s="41">
        <f>(F$211*$B210)-E$195</f>
        <v>-320.6507513333334</v>
      </c>
      <c r="G210" s="41">
        <f>(G$211*B210)-E$195</f>
        <v>-274.25075133333348</v>
      </c>
    </row>
    <row r="211" spans="1:7" x14ac:dyDescent="0.2">
      <c r="A211" s="356" t="s">
        <v>25</v>
      </c>
      <c r="B211" s="351"/>
      <c r="C211" s="352">
        <f>D14*0.8</f>
        <v>160</v>
      </c>
      <c r="D211" s="352">
        <f>D14*0.9</f>
        <v>180</v>
      </c>
      <c r="E211" s="352">
        <f>D14</f>
        <v>200</v>
      </c>
      <c r="F211" s="352">
        <f>D14*1.1</f>
        <v>220.00000000000003</v>
      </c>
      <c r="G211" s="352">
        <f>D14*1.2</f>
        <v>240</v>
      </c>
    </row>
    <row r="212" spans="1:7" x14ac:dyDescent="0.2">
      <c r="A212" s="356" t="s">
        <v>19</v>
      </c>
      <c r="B212" s="351"/>
      <c r="C212" s="353" t="s">
        <v>23</v>
      </c>
      <c r="D212" s="353" t="s">
        <v>22</v>
      </c>
      <c r="E212" s="354"/>
      <c r="F212" s="353" t="s">
        <v>20</v>
      </c>
      <c r="G212" s="355" t="s">
        <v>21</v>
      </c>
    </row>
  </sheetData>
  <sheetProtection algorithmName="SHA-512" hashValue="WDn9gVOFLBC4mS8OPvYtUv99eXbNynSricQeiZAcmuYEPoRK3eyu95Ufb2I5ULywPPWtr0cf3vUrcjikV/qBAQ==" saltValue="NnUYATi+kE80RIJ4TNjsfA==" spinCount="100000" sheet="1" objects="1" scenarios="1"/>
  <mergeCells count="4">
    <mergeCell ref="C201:G201"/>
    <mergeCell ref="C203:G203"/>
    <mergeCell ref="A204:B204"/>
    <mergeCell ref="C205:G205"/>
  </mergeCells>
  <hyperlinks>
    <hyperlink ref="I135" r:id="rId1" xr:uid="{C34305BB-E4B4-40C4-B0B3-6519C7875909}"/>
    <hyperlink ref="I142" r:id="rId2" xr:uid="{B449AD30-F8EF-4CAD-BB00-8960E776EF56}"/>
    <hyperlink ref="I136" r:id="rId3" xr:uid="{0B19287A-A7E6-45B4-8B94-34CDD2DFDDD1}"/>
    <hyperlink ref="I139" r:id="rId4" xr:uid="{B6A27E36-13DD-4504-ABF8-9D406D6BA2F2}"/>
  </hyperlinks>
  <pageMargins left="0.7" right="0.7" top="0.75" bottom="0.75" header="0.3" footer="0.3"/>
  <pageSetup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vt:lpstr>
      <vt:lpstr>Fertilizer Cost Calculator</vt:lpstr>
      <vt:lpstr>Corn</vt:lpstr>
      <vt:lpstr>Corn Silage</vt:lpstr>
      <vt:lpstr>Soybeans</vt:lpstr>
      <vt:lpstr>Small Grain</vt:lpstr>
      <vt:lpstr>Seeding Year Haylage</vt:lpstr>
      <vt:lpstr>Established Haylage</vt:lpstr>
      <vt:lpstr>Seeding Year Hay</vt:lpstr>
      <vt:lpstr>Established Hay</vt:lpstr>
      <vt:lpstr>Annual Forage Crop</vt:lpstr>
      <vt:lpstr>Corn!Print_Area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Kamps</dc:creator>
  <cp:lastModifiedBy>Joshua Kamps</cp:lastModifiedBy>
  <cp:lastPrinted>2022-04-18T23:38:09Z</cp:lastPrinted>
  <dcterms:created xsi:type="dcterms:W3CDTF">2008-01-03T21:05:03Z</dcterms:created>
  <dcterms:modified xsi:type="dcterms:W3CDTF">2022-11-08T23:08:39Z</dcterms:modified>
</cp:coreProperties>
</file>